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36" windowWidth="10332" windowHeight="7848" firstSheet="3" activeTab="3"/>
  </bookViews>
  <sheets>
    <sheet name="1.Исходные данные" sheetId="1" r:id="rId1"/>
    <sheet name="2.ставка дисконтирования" sheetId="3" r:id="rId2"/>
    <sheet name="3.анализ чувствительности" sheetId="4" r:id="rId3"/>
    <sheet name="4.сценарный анализ" sheetId="5" r:id="rId4"/>
    <sheet name="5.Имитационное моделирование" sheetId="2" r:id="rId5"/>
  </sheets>
  <definedNames>
    <definedName name="IRR">'4.сценарный анализ'!$T$41</definedName>
    <definedName name="MIRR">'4.сценарный анализ'!$T$42</definedName>
    <definedName name="NPV">'4.сценарный анализ'!$T$40</definedName>
    <definedName name="PI">'4.сценарный анализ'!$T$43</definedName>
    <definedName name="Вероятность_сценария">'4.сценарный анализ'!$D$6</definedName>
    <definedName name="Изменение_объема_продаж__изменение_в_процентах_для_каждого_периода_на_одинаковое_количество_процентов">'4.сценарный анализ'!$K$40</definedName>
    <definedName name="множитель_дисконтирования">'4.сценарный анализ'!$K$36</definedName>
    <definedName name="Первоначальные_инвестиции">'4.сценарный анализ'!$K$37</definedName>
    <definedName name="Переменные_затраты_на_единицу">'4.сценарный анализ'!$K$39</definedName>
    <definedName name="Ставка_дисконтирования">'4.сценарный анализ'!$D$7</definedName>
    <definedName name="Цена">'4.сценарный анализ'!$K$38</definedName>
  </definedNames>
  <calcPr calcId="124519"/>
</workbook>
</file>

<file path=xl/calcChain.xml><?xml version="1.0" encoding="utf-8"?>
<calcChain xmlns="http://schemas.openxmlformats.org/spreadsheetml/2006/main">
  <c r="M45" i="4"/>
  <c r="L38" i="3"/>
  <c r="F16" i="5" l="1"/>
  <c r="R14"/>
  <c r="R17" s="1"/>
  <c r="Q14"/>
  <c r="P14"/>
  <c r="P17" s="1"/>
  <c r="U41"/>
  <c r="U42"/>
  <c r="U43"/>
  <c r="U40"/>
  <c r="Q36"/>
  <c r="R36"/>
  <c r="S36"/>
  <c r="T36"/>
  <c r="P36"/>
  <c r="Q15"/>
  <c r="R15"/>
  <c r="S15"/>
  <c r="T15"/>
  <c r="P15"/>
  <c r="O36"/>
  <c r="T14"/>
  <c r="T17" s="1"/>
  <c r="S14"/>
  <c r="S17" s="1"/>
  <c r="N10"/>
  <c r="N12" s="1"/>
  <c r="R20" s="1"/>
  <c r="E13" i="4"/>
  <c r="F13"/>
  <c r="G13"/>
  <c r="H13"/>
  <c r="D13"/>
  <c r="B13"/>
  <c r="S44"/>
  <c r="T44"/>
  <c r="U44"/>
  <c r="V44"/>
  <c r="R44"/>
  <c r="S21"/>
  <c r="T21"/>
  <c r="U21"/>
  <c r="V21"/>
  <c r="R21"/>
  <c r="Q44"/>
  <c r="V20"/>
  <c r="V22" s="1"/>
  <c r="U20"/>
  <c r="U22" s="1"/>
  <c r="T20"/>
  <c r="T23" s="1"/>
  <c r="S20"/>
  <c r="R20"/>
  <c r="R23" s="1"/>
  <c r="P16"/>
  <c r="R18" i="3"/>
  <c r="S18"/>
  <c r="T18"/>
  <c r="U18"/>
  <c r="Q18"/>
  <c r="G21" i="1"/>
  <c r="H21"/>
  <c r="I21"/>
  <c r="J21"/>
  <c r="F21"/>
  <c r="E17" i="5" l="1"/>
  <c r="D20"/>
  <c r="D17"/>
  <c r="D18" s="1"/>
  <c r="F17"/>
  <c r="F18" s="1"/>
  <c r="G17"/>
  <c r="H17"/>
  <c r="Q16"/>
  <c r="P26" s="1"/>
  <c r="P27" s="1"/>
  <c r="P16"/>
  <c r="P19" s="1"/>
  <c r="R16"/>
  <c r="Q26" s="1"/>
  <c r="S16"/>
  <c r="R26" s="1"/>
  <c r="T16"/>
  <c r="T20"/>
  <c r="P20"/>
  <c r="Q20"/>
  <c r="S20"/>
  <c r="Q17"/>
  <c r="N35"/>
  <c r="N37" s="1"/>
  <c r="N38" s="1"/>
  <c r="O35"/>
  <c r="U23" i="4"/>
  <c r="U25" s="1"/>
  <c r="V23"/>
  <c r="V25" s="1"/>
  <c r="S22"/>
  <c r="R32" s="1"/>
  <c r="R33" s="1"/>
  <c r="S23"/>
  <c r="R22"/>
  <c r="R25" s="1"/>
  <c r="P18"/>
  <c r="S26" s="1"/>
  <c r="T22"/>
  <c r="S32" s="1"/>
  <c r="U32"/>
  <c r="T32"/>
  <c r="Q19" i="5" l="1"/>
  <c r="Q21" s="1"/>
  <c r="Q22" s="1"/>
  <c r="Q23" s="1"/>
  <c r="Q24" s="1"/>
  <c r="P21"/>
  <c r="P22" s="1"/>
  <c r="P23" s="1"/>
  <c r="P24" s="1"/>
  <c r="P35" s="1"/>
  <c r="P37" s="1"/>
  <c r="R27"/>
  <c r="S19"/>
  <c r="S21" s="1"/>
  <c r="S22" s="1"/>
  <c r="S23" s="1"/>
  <c r="S24" s="1"/>
  <c r="R19"/>
  <c r="R21" s="1"/>
  <c r="R22" s="1"/>
  <c r="R23" s="1"/>
  <c r="R24" s="1"/>
  <c r="O37"/>
  <c r="O38" s="1"/>
  <c r="T19"/>
  <c r="T21" s="1"/>
  <c r="S26"/>
  <c r="Q27"/>
  <c r="T25" i="4"/>
  <c r="S25"/>
  <c r="S27" s="1"/>
  <c r="S28" s="1"/>
  <c r="S29" s="1"/>
  <c r="S30" s="1"/>
  <c r="P43"/>
  <c r="P45" s="1"/>
  <c r="P46" s="1"/>
  <c r="V26"/>
  <c r="V27" s="1"/>
  <c r="V28" s="1"/>
  <c r="V29" s="1"/>
  <c r="V30" s="1"/>
  <c r="Q43"/>
  <c r="Q45" s="1"/>
  <c r="Q46" s="1"/>
  <c r="R26"/>
  <c r="R27" s="1"/>
  <c r="R28" s="1"/>
  <c r="R29" s="1"/>
  <c r="R30" s="1"/>
  <c r="R43" s="1"/>
  <c r="R45" s="1"/>
  <c r="T26"/>
  <c r="U26"/>
  <c r="U27" s="1"/>
  <c r="U28" s="1"/>
  <c r="T33"/>
  <c r="U33"/>
  <c r="V40"/>
  <c r="V41" s="1"/>
  <c r="S33"/>
  <c r="R35" i="5" l="1"/>
  <c r="R37" s="1"/>
  <c r="Q35"/>
  <c r="Q37" s="1"/>
  <c r="S27"/>
  <c r="S35" s="1"/>
  <c r="T32"/>
  <c r="T33" s="1"/>
  <c r="T22"/>
  <c r="T23" s="1"/>
  <c r="T24" s="1"/>
  <c r="P38"/>
  <c r="T27" i="4"/>
  <c r="T28" s="1"/>
  <c r="T29" s="1"/>
  <c r="T30" s="1"/>
  <c r="T43" s="1"/>
  <c r="T45" s="1"/>
  <c r="U29"/>
  <c r="U30" s="1"/>
  <c r="U43" s="1"/>
  <c r="U45" s="1"/>
  <c r="V43"/>
  <c r="V45" s="1"/>
  <c r="S43"/>
  <c r="S45" s="1"/>
  <c r="R46"/>
  <c r="R16" i="3"/>
  <c r="S16"/>
  <c r="T16"/>
  <c r="U16"/>
  <c r="U17" s="1"/>
  <c r="Q16"/>
  <c r="R37"/>
  <c r="S37"/>
  <c r="T37"/>
  <c r="U37"/>
  <c r="Q37"/>
  <c r="P37"/>
  <c r="R17"/>
  <c r="Q17"/>
  <c r="Q20" s="1"/>
  <c r="U15"/>
  <c r="T15"/>
  <c r="T17" s="1"/>
  <c r="S15"/>
  <c r="R15"/>
  <c r="Q15"/>
  <c r="O11"/>
  <c r="O13" s="1"/>
  <c r="E18" i="5"/>
  <c r="G18"/>
  <c r="D11" i="1"/>
  <c r="A38" s="1"/>
  <c r="J15"/>
  <c r="J18" s="1"/>
  <c r="I15"/>
  <c r="I18" s="1"/>
  <c r="H15"/>
  <c r="H18" s="1"/>
  <c r="G15"/>
  <c r="G18" s="1"/>
  <c r="F15"/>
  <c r="F18" s="1"/>
  <c r="J16"/>
  <c r="G16"/>
  <c r="H16"/>
  <c r="I16"/>
  <c r="F16"/>
  <c r="F54" i="2"/>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C12"/>
  <c r="F53"/>
  <c r="F81" i="1"/>
  <c r="F82"/>
  <c r="F83"/>
  <c r="F84"/>
  <c r="F80"/>
  <c r="F15" i="2"/>
  <c r="G15"/>
  <c r="H15"/>
  <c r="I15"/>
  <c r="E15"/>
  <c r="H18" i="5" l="1"/>
  <c r="D24" s="1"/>
  <c r="Q38"/>
  <c r="R38" s="1"/>
  <c r="T35"/>
  <c r="T37" s="1"/>
  <c r="S37"/>
  <c r="S46" i="4"/>
  <c r="T46" s="1"/>
  <c r="U46" s="1"/>
  <c r="V46" s="1"/>
  <c r="V51" s="1"/>
  <c r="V49"/>
  <c r="S21" i="3"/>
  <c r="R21"/>
  <c r="Q21"/>
  <c r="Q22" s="1"/>
  <c r="Q23" s="1"/>
  <c r="Q24" s="1"/>
  <c r="Q25" s="1"/>
  <c r="Q36" s="1"/>
  <c r="Q38" s="1"/>
  <c r="U21"/>
  <c r="T21"/>
  <c r="S17"/>
  <c r="O36"/>
  <c r="O38" s="1"/>
  <c r="O39" s="1"/>
  <c r="P36"/>
  <c r="S27"/>
  <c r="U20"/>
  <c r="T27"/>
  <c r="R27"/>
  <c r="S20"/>
  <c r="R20"/>
  <c r="T20"/>
  <c r="Q27"/>
  <c r="Q28" s="1"/>
  <c r="G17" i="1"/>
  <c r="F17"/>
  <c r="F20" s="1"/>
  <c r="J17"/>
  <c r="J20" s="1"/>
  <c r="J22" s="1"/>
  <c r="D13"/>
  <c r="H17"/>
  <c r="G27" s="1"/>
  <c r="I17"/>
  <c r="H27" s="1"/>
  <c r="F27"/>
  <c r="F28" s="1"/>
  <c r="G20"/>
  <c r="E52" i="2"/>
  <c r="D52"/>
  <c r="C52"/>
  <c r="B52"/>
  <c r="I36"/>
  <c r="H36"/>
  <c r="G36"/>
  <c r="F36"/>
  <c r="E36"/>
  <c r="D36"/>
  <c r="D35"/>
  <c r="E89" i="1"/>
  <c r="F89"/>
  <c r="G89"/>
  <c r="H89"/>
  <c r="D89"/>
  <c r="S38" i="5" l="1"/>
  <c r="T38" s="1"/>
  <c r="T40" s="1"/>
  <c r="T41"/>
  <c r="V48" i="4"/>
  <c r="U22" i="3"/>
  <c r="S22"/>
  <c r="T22"/>
  <c r="T23" s="1"/>
  <c r="T24" s="1"/>
  <c r="T25" s="1"/>
  <c r="T36" s="1"/>
  <c r="T38" s="1"/>
  <c r="R22"/>
  <c r="R23" s="1"/>
  <c r="R24" s="1"/>
  <c r="R25" s="1"/>
  <c r="R36" s="1"/>
  <c r="R38" s="1"/>
  <c r="P38"/>
  <c r="P39" s="1"/>
  <c r="Q39" s="1"/>
  <c r="S23"/>
  <c r="S24" s="1"/>
  <c r="S25" s="1"/>
  <c r="R28"/>
  <c r="S28"/>
  <c r="T28"/>
  <c r="U33"/>
  <c r="U34" s="1"/>
  <c r="U23"/>
  <c r="U24" s="1"/>
  <c r="U25" s="1"/>
  <c r="U36" s="1"/>
  <c r="U38" s="1"/>
  <c r="G22" i="1"/>
  <c r="G23" s="1"/>
  <c r="G24" s="1"/>
  <c r="G25" s="1"/>
  <c r="G36" s="1"/>
  <c r="H20"/>
  <c r="H22" s="1"/>
  <c r="H23" s="1"/>
  <c r="H24" s="1"/>
  <c r="H25" s="1"/>
  <c r="I27"/>
  <c r="J33" s="1"/>
  <c r="J34" s="1"/>
  <c r="F22"/>
  <c r="F23" s="1"/>
  <c r="F24" s="1"/>
  <c r="F25" s="1"/>
  <c r="F36" s="1"/>
  <c r="H28"/>
  <c r="D36"/>
  <c r="D38" s="1"/>
  <c r="D39" s="1"/>
  <c r="I20"/>
  <c r="I22" s="1"/>
  <c r="I23" s="1"/>
  <c r="I24" s="1"/>
  <c r="I25" s="1"/>
  <c r="G28"/>
  <c r="J23"/>
  <c r="J24" s="1"/>
  <c r="J25" s="1"/>
  <c r="F90"/>
  <c r="H91" s="1"/>
  <c r="H92" s="1"/>
  <c r="H93" s="1"/>
  <c r="D37" i="2"/>
  <c r="D38" s="1"/>
  <c r="E36" i="1"/>
  <c r="T43" i="5" l="1"/>
  <c r="S36" i="3"/>
  <c r="S38" s="1"/>
  <c r="U42"/>
  <c r="R39"/>
  <c r="I28" i="1"/>
  <c r="H36"/>
  <c r="J36"/>
  <c r="I36"/>
  <c r="E91"/>
  <c r="E92" s="1"/>
  <c r="E93" s="1"/>
  <c r="D91"/>
  <c r="D92" s="1"/>
  <c r="D93" s="1"/>
  <c r="D98"/>
  <c r="G91"/>
  <c r="G92" s="1"/>
  <c r="G93" s="1"/>
  <c r="F91"/>
  <c r="F92" s="1"/>
  <c r="F93" s="1"/>
  <c r="F14" i="2"/>
  <c r="H14"/>
  <c r="E14"/>
  <c r="G14"/>
  <c r="I14"/>
  <c r="H37" i="1"/>
  <c r="J37"/>
  <c r="E37"/>
  <c r="G37"/>
  <c r="G38" s="1"/>
  <c r="I37"/>
  <c r="F37"/>
  <c r="F38" s="1"/>
  <c r="E38"/>
  <c r="E39" s="1"/>
  <c r="S39" i="3" l="1"/>
  <c r="T39" s="1"/>
  <c r="U39" s="1"/>
  <c r="I38" i="1"/>
  <c r="H38"/>
  <c r="J42"/>
  <c r="J38"/>
  <c r="F94"/>
  <c r="F95" s="1"/>
  <c r="D99" s="1"/>
  <c r="D100" s="1"/>
  <c r="K55" i="2"/>
  <c r="K57"/>
  <c r="K59"/>
  <c r="K61"/>
  <c r="K63"/>
  <c r="K65"/>
  <c r="K54"/>
  <c r="K56"/>
  <c r="K58"/>
  <c r="K60"/>
  <c r="K62"/>
  <c r="K64"/>
  <c r="K67"/>
  <c r="K69"/>
  <c r="K71"/>
  <c r="K73"/>
  <c r="K75"/>
  <c r="K77"/>
  <c r="K79"/>
  <c r="K81"/>
  <c r="K83"/>
  <c r="K85"/>
  <c r="K87"/>
  <c r="K89"/>
  <c r="K91"/>
  <c r="K93"/>
  <c r="K95"/>
  <c r="K97"/>
  <c r="K99"/>
  <c r="K101"/>
  <c r="K103"/>
  <c r="K105"/>
  <c r="K107"/>
  <c r="K109"/>
  <c r="K111"/>
  <c r="K113"/>
  <c r="K115"/>
  <c r="K117"/>
  <c r="K119"/>
  <c r="K121"/>
  <c r="K123"/>
  <c r="K125"/>
  <c r="K127"/>
  <c r="K129"/>
  <c r="K131"/>
  <c r="K133"/>
  <c r="K135"/>
  <c r="K137"/>
  <c r="K139"/>
  <c r="K141"/>
  <c r="K143"/>
  <c r="K145"/>
  <c r="K147"/>
  <c r="K149"/>
  <c r="K151"/>
  <c r="K153"/>
  <c r="K155"/>
  <c r="K157"/>
  <c r="K159"/>
  <c r="K161"/>
  <c r="K163"/>
  <c r="K165"/>
  <c r="K167"/>
  <c r="K169"/>
  <c r="K171"/>
  <c r="K173"/>
  <c r="K175"/>
  <c r="K177"/>
  <c r="K179"/>
  <c r="K181"/>
  <c r="K183"/>
  <c r="K185"/>
  <c r="K187"/>
  <c r="K189"/>
  <c r="K191"/>
  <c r="K193"/>
  <c r="K195"/>
  <c r="K197"/>
  <c r="K199"/>
  <c r="K201"/>
  <c r="K203"/>
  <c r="K205"/>
  <c r="K207"/>
  <c r="K209"/>
  <c r="K211"/>
  <c r="K213"/>
  <c r="K215"/>
  <c r="K217"/>
  <c r="K219"/>
  <c r="K221"/>
  <c r="K223"/>
  <c r="K225"/>
  <c r="K227"/>
  <c r="K229"/>
  <c r="K231"/>
  <c r="K233"/>
  <c r="K235"/>
  <c r="K237"/>
  <c r="K239"/>
  <c r="K241"/>
  <c r="K243"/>
  <c r="K245"/>
  <c r="K247"/>
  <c r="K249"/>
  <c r="K251"/>
  <c r="K253"/>
  <c r="K255"/>
  <c r="K257"/>
  <c r="K259"/>
  <c r="K261"/>
  <c r="K263"/>
  <c r="K265"/>
  <c r="K267"/>
  <c r="K269"/>
  <c r="K271"/>
  <c r="K273"/>
  <c r="K275"/>
  <c r="K277"/>
  <c r="K279"/>
  <c r="K281"/>
  <c r="K283"/>
  <c r="K285"/>
  <c r="K287"/>
  <c r="K289"/>
  <c r="K291"/>
  <c r="K293"/>
  <c r="K295"/>
  <c r="K297"/>
  <c r="K299"/>
  <c r="K301"/>
  <c r="K303"/>
  <c r="K305"/>
  <c r="K307"/>
  <c r="K309"/>
  <c r="K311"/>
  <c r="K313"/>
  <c r="K315"/>
  <c r="K317"/>
  <c r="K319"/>
  <c r="K321"/>
  <c r="K323"/>
  <c r="K325"/>
  <c r="K327"/>
  <c r="K329"/>
  <c r="K331"/>
  <c r="K333"/>
  <c r="K335"/>
  <c r="K337"/>
  <c r="K339"/>
  <c r="K341"/>
  <c r="K343"/>
  <c r="K345"/>
  <c r="K347"/>
  <c r="K349"/>
  <c r="K351"/>
  <c r="K353"/>
  <c r="K355"/>
  <c r="K357"/>
  <c r="K359"/>
  <c r="K361"/>
  <c r="K363"/>
  <c r="K365"/>
  <c r="K367"/>
  <c r="K369"/>
  <c r="K371"/>
  <c r="K373"/>
  <c r="K375"/>
  <c r="K377"/>
  <c r="K379"/>
  <c r="K381"/>
  <c r="K383"/>
  <c r="K385"/>
  <c r="K387"/>
  <c r="K389"/>
  <c r="K391"/>
  <c r="K393"/>
  <c r="K395"/>
  <c r="K397"/>
  <c r="K399"/>
  <c r="K401"/>
  <c r="K403"/>
  <c r="K405"/>
  <c r="K407"/>
  <c r="K409"/>
  <c r="K411"/>
  <c r="K413"/>
  <c r="K415"/>
  <c r="K417"/>
  <c r="K419"/>
  <c r="K421"/>
  <c r="K423"/>
  <c r="K425"/>
  <c r="K427"/>
  <c r="K429"/>
  <c r="K431"/>
  <c r="K433"/>
  <c r="K435"/>
  <c r="K437"/>
  <c r="K439"/>
  <c r="K441"/>
  <c r="K443"/>
  <c r="K445"/>
  <c r="K447"/>
  <c r="K449"/>
  <c r="K451"/>
  <c r="K453"/>
  <c r="K455"/>
  <c r="K457"/>
  <c r="K459"/>
  <c r="K461"/>
  <c r="K463"/>
  <c r="K465"/>
  <c r="K467"/>
  <c r="K469"/>
  <c r="K471"/>
  <c r="K473"/>
  <c r="K475"/>
  <c r="K477"/>
  <c r="K479"/>
  <c r="K481"/>
  <c r="K483"/>
  <c r="K485"/>
  <c r="K487"/>
  <c r="K489"/>
  <c r="K491"/>
  <c r="K493"/>
  <c r="K495"/>
  <c r="K497"/>
  <c r="K499"/>
  <c r="K501"/>
  <c r="K503"/>
  <c r="K505"/>
  <c r="K507"/>
  <c r="K509"/>
  <c r="K511"/>
  <c r="K513"/>
  <c r="K515"/>
  <c r="K517"/>
  <c r="K519"/>
  <c r="K521"/>
  <c r="K523"/>
  <c r="K525"/>
  <c r="K527"/>
  <c r="K529"/>
  <c r="K531"/>
  <c r="K533"/>
  <c r="K535"/>
  <c r="K537"/>
  <c r="K539"/>
  <c r="K541"/>
  <c r="K543"/>
  <c r="K545"/>
  <c r="K547"/>
  <c r="K549"/>
  <c r="K551"/>
  <c r="K553"/>
  <c r="K66"/>
  <c r="K68"/>
  <c r="K70"/>
  <c r="K72"/>
  <c r="K74"/>
  <c r="K76"/>
  <c r="K78"/>
  <c r="K80"/>
  <c r="K82"/>
  <c r="K84"/>
  <c r="K86"/>
  <c r="K88"/>
  <c r="K90"/>
  <c r="K92"/>
  <c r="K94"/>
  <c r="K96"/>
  <c r="K98"/>
  <c r="K100"/>
  <c r="K102"/>
  <c r="K104"/>
  <c r="K106"/>
  <c r="K108"/>
  <c r="K110"/>
  <c r="K112"/>
  <c r="K114"/>
  <c r="K116"/>
  <c r="K118"/>
  <c r="K120"/>
  <c r="K122"/>
  <c r="K124"/>
  <c r="K126"/>
  <c r="K128"/>
  <c r="K130"/>
  <c r="K132"/>
  <c r="K134"/>
  <c r="K136"/>
  <c r="K138"/>
  <c r="K140"/>
  <c r="K142"/>
  <c r="K144"/>
  <c r="K146"/>
  <c r="K148"/>
  <c r="K150"/>
  <c r="K152"/>
  <c r="K154"/>
  <c r="K156"/>
  <c r="K158"/>
  <c r="K160"/>
  <c r="K162"/>
  <c r="K164"/>
  <c r="K166"/>
  <c r="K168"/>
  <c r="K170"/>
  <c r="K172"/>
  <c r="K174"/>
  <c r="K176"/>
  <c r="K178"/>
  <c r="K180"/>
  <c r="K182"/>
  <c r="K184"/>
  <c r="K186"/>
  <c r="K188"/>
  <c r="K190"/>
  <c r="K192"/>
  <c r="K194"/>
  <c r="K196"/>
  <c r="K198"/>
  <c r="K200"/>
  <c r="K202"/>
  <c r="K204"/>
  <c r="K206"/>
  <c r="K208"/>
  <c r="K210"/>
  <c r="K212"/>
  <c r="K214"/>
  <c r="K216"/>
  <c r="K218"/>
  <c r="K220"/>
  <c r="K222"/>
  <c r="K224"/>
  <c r="K226"/>
  <c r="K228"/>
  <c r="K230"/>
  <c r="K232"/>
  <c r="K234"/>
  <c r="K236"/>
  <c r="K238"/>
  <c r="K240"/>
  <c r="K242"/>
  <c r="K244"/>
  <c r="K246"/>
  <c r="K248"/>
  <c r="K250"/>
  <c r="K252"/>
  <c r="K254"/>
  <c r="K256"/>
  <c r="K258"/>
  <c r="K260"/>
  <c r="K262"/>
  <c r="K264"/>
  <c r="K266"/>
  <c r="K268"/>
  <c r="K270"/>
  <c r="K272"/>
  <c r="K274"/>
  <c r="K276"/>
  <c r="K278"/>
  <c r="K280"/>
  <c r="K282"/>
  <c r="K284"/>
  <c r="K286"/>
  <c r="K288"/>
  <c r="K290"/>
  <c r="K292"/>
  <c r="K294"/>
  <c r="K296"/>
  <c r="K298"/>
  <c r="K300"/>
  <c r="K302"/>
  <c r="K304"/>
  <c r="K306"/>
  <c r="K308"/>
  <c r="K310"/>
  <c r="K312"/>
  <c r="K314"/>
  <c r="K316"/>
  <c r="K318"/>
  <c r="K320"/>
  <c r="K322"/>
  <c r="K324"/>
  <c r="K326"/>
  <c r="K328"/>
  <c r="K330"/>
  <c r="K332"/>
  <c r="K334"/>
  <c r="K336"/>
  <c r="K338"/>
  <c r="K340"/>
  <c r="K342"/>
  <c r="K344"/>
  <c r="K346"/>
  <c r="K348"/>
  <c r="K350"/>
  <c r="K352"/>
  <c r="K354"/>
  <c r="K356"/>
  <c r="K358"/>
  <c r="K360"/>
  <c r="K362"/>
  <c r="K364"/>
  <c r="K366"/>
  <c r="K368"/>
  <c r="K370"/>
  <c r="K372"/>
  <c r="K374"/>
  <c r="K376"/>
  <c r="K378"/>
  <c r="K380"/>
  <c r="K382"/>
  <c r="K384"/>
  <c r="K386"/>
  <c r="K388"/>
  <c r="K390"/>
  <c r="K392"/>
  <c r="K394"/>
  <c r="K396"/>
  <c r="K398"/>
  <c r="K400"/>
  <c r="K402"/>
  <c r="K404"/>
  <c r="K406"/>
  <c r="K408"/>
  <c r="K410"/>
  <c r="K412"/>
  <c r="K414"/>
  <c r="K416"/>
  <c r="K418"/>
  <c r="K420"/>
  <c r="K422"/>
  <c r="K424"/>
  <c r="K426"/>
  <c r="K428"/>
  <c r="K430"/>
  <c r="K432"/>
  <c r="K434"/>
  <c r="K436"/>
  <c r="K438"/>
  <c r="K440"/>
  <c r="K442"/>
  <c r="K444"/>
  <c r="K446"/>
  <c r="K448"/>
  <c r="K450"/>
  <c r="K452"/>
  <c r="K454"/>
  <c r="K456"/>
  <c r="K458"/>
  <c r="K460"/>
  <c r="K462"/>
  <c r="K464"/>
  <c r="K466"/>
  <c r="K468"/>
  <c r="K470"/>
  <c r="K472"/>
  <c r="K474"/>
  <c r="K476"/>
  <c r="K478"/>
  <c r="K480"/>
  <c r="K482"/>
  <c r="K484"/>
  <c r="K486"/>
  <c r="K488"/>
  <c r="K490"/>
  <c r="K492"/>
  <c r="K494"/>
  <c r="K496"/>
  <c r="K498"/>
  <c r="K500"/>
  <c r="K502"/>
  <c r="K504"/>
  <c r="K506"/>
  <c r="K508"/>
  <c r="K510"/>
  <c r="K512"/>
  <c r="K514"/>
  <c r="K516"/>
  <c r="K518"/>
  <c r="K520"/>
  <c r="K522"/>
  <c r="K524"/>
  <c r="K526"/>
  <c r="K528"/>
  <c r="K530"/>
  <c r="K532"/>
  <c r="K534"/>
  <c r="K536"/>
  <c r="K538"/>
  <c r="K540"/>
  <c r="K542"/>
  <c r="K544"/>
  <c r="K546"/>
  <c r="K548"/>
  <c r="K550"/>
  <c r="K552"/>
  <c r="K53"/>
  <c r="I55"/>
  <c r="I57"/>
  <c r="I59"/>
  <c r="I61"/>
  <c r="I63"/>
  <c r="I65"/>
  <c r="I67"/>
  <c r="I69"/>
  <c r="I71"/>
  <c r="I73"/>
  <c r="I75"/>
  <c r="I77"/>
  <c r="I79"/>
  <c r="I81"/>
  <c r="I83"/>
  <c r="I85"/>
  <c r="I87"/>
  <c r="I89"/>
  <c r="I54"/>
  <c r="I56"/>
  <c r="I60"/>
  <c r="I58"/>
  <c r="I62"/>
  <c r="I66"/>
  <c r="I70"/>
  <c r="I74"/>
  <c r="I78"/>
  <c r="I82"/>
  <c r="I86"/>
  <c r="I90"/>
  <c r="I92"/>
  <c r="I94"/>
  <c r="I96"/>
  <c r="I98"/>
  <c r="I100"/>
  <c r="I102"/>
  <c r="I104"/>
  <c r="I106"/>
  <c r="I108"/>
  <c r="I110"/>
  <c r="I112"/>
  <c r="I114"/>
  <c r="I116"/>
  <c r="I118"/>
  <c r="I120"/>
  <c r="I122"/>
  <c r="I124"/>
  <c r="I126"/>
  <c r="I128"/>
  <c r="I130"/>
  <c r="I132"/>
  <c r="I134"/>
  <c r="I136"/>
  <c r="I138"/>
  <c r="I140"/>
  <c r="I142"/>
  <c r="I144"/>
  <c r="I146"/>
  <c r="I148"/>
  <c r="I150"/>
  <c r="I152"/>
  <c r="I154"/>
  <c r="I156"/>
  <c r="I158"/>
  <c r="I160"/>
  <c r="I162"/>
  <c r="I164"/>
  <c r="I166"/>
  <c r="I168"/>
  <c r="I170"/>
  <c r="I172"/>
  <c r="I174"/>
  <c r="I176"/>
  <c r="I178"/>
  <c r="I180"/>
  <c r="I182"/>
  <c r="I184"/>
  <c r="I186"/>
  <c r="I188"/>
  <c r="I190"/>
  <c r="I192"/>
  <c r="I194"/>
  <c r="I196"/>
  <c r="I198"/>
  <c r="I200"/>
  <c r="I202"/>
  <c r="I204"/>
  <c r="I206"/>
  <c r="I208"/>
  <c r="I210"/>
  <c r="I212"/>
  <c r="I214"/>
  <c r="I216"/>
  <c r="I218"/>
  <c r="I220"/>
  <c r="I222"/>
  <c r="I224"/>
  <c r="I226"/>
  <c r="I228"/>
  <c r="I230"/>
  <c r="I232"/>
  <c r="I234"/>
  <c r="I236"/>
  <c r="I238"/>
  <c r="I240"/>
  <c r="I242"/>
  <c r="I244"/>
  <c r="I246"/>
  <c r="I248"/>
  <c r="I250"/>
  <c r="I252"/>
  <c r="I254"/>
  <c r="I256"/>
  <c r="I258"/>
  <c r="I260"/>
  <c r="I262"/>
  <c r="I264"/>
  <c r="I266"/>
  <c r="I268"/>
  <c r="I270"/>
  <c r="I272"/>
  <c r="I274"/>
  <c r="I276"/>
  <c r="I278"/>
  <c r="I280"/>
  <c r="I282"/>
  <c r="I284"/>
  <c r="I286"/>
  <c r="I288"/>
  <c r="I290"/>
  <c r="I292"/>
  <c r="I294"/>
  <c r="I296"/>
  <c r="I298"/>
  <c r="I300"/>
  <c r="I302"/>
  <c r="I304"/>
  <c r="I306"/>
  <c r="I308"/>
  <c r="I310"/>
  <c r="I312"/>
  <c r="I314"/>
  <c r="I316"/>
  <c r="I318"/>
  <c r="I320"/>
  <c r="I322"/>
  <c r="I324"/>
  <c r="I326"/>
  <c r="I328"/>
  <c r="I330"/>
  <c r="I332"/>
  <c r="I334"/>
  <c r="I336"/>
  <c r="I338"/>
  <c r="I340"/>
  <c r="I342"/>
  <c r="I344"/>
  <c r="I346"/>
  <c r="I348"/>
  <c r="I350"/>
  <c r="I352"/>
  <c r="I354"/>
  <c r="I356"/>
  <c r="I358"/>
  <c r="I360"/>
  <c r="I362"/>
  <c r="I364"/>
  <c r="I366"/>
  <c r="I368"/>
  <c r="I370"/>
  <c r="I372"/>
  <c r="I374"/>
  <c r="I376"/>
  <c r="I378"/>
  <c r="I380"/>
  <c r="I382"/>
  <c r="I384"/>
  <c r="I386"/>
  <c r="I388"/>
  <c r="I390"/>
  <c r="I392"/>
  <c r="I394"/>
  <c r="I396"/>
  <c r="I398"/>
  <c r="I400"/>
  <c r="I402"/>
  <c r="I404"/>
  <c r="I406"/>
  <c r="I408"/>
  <c r="I410"/>
  <c r="I412"/>
  <c r="I414"/>
  <c r="I416"/>
  <c r="I418"/>
  <c r="I420"/>
  <c r="I422"/>
  <c r="I424"/>
  <c r="I426"/>
  <c r="I428"/>
  <c r="I430"/>
  <c r="I432"/>
  <c r="I434"/>
  <c r="I436"/>
  <c r="I438"/>
  <c r="I440"/>
  <c r="I442"/>
  <c r="I444"/>
  <c r="I446"/>
  <c r="I448"/>
  <c r="I450"/>
  <c r="I452"/>
  <c r="I454"/>
  <c r="I456"/>
  <c r="I458"/>
  <c r="I460"/>
  <c r="I462"/>
  <c r="I464"/>
  <c r="I466"/>
  <c r="I468"/>
  <c r="I470"/>
  <c r="I472"/>
  <c r="I474"/>
  <c r="I476"/>
  <c r="I478"/>
  <c r="I480"/>
  <c r="I482"/>
  <c r="I484"/>
  <c r="I486"/>
  <c r="I488"/>
  <c r="I490"/>
  <c r="I492"/>
  <c r="I494"/>
  <c r="I496"/>
  <c r="I498"/>
  <c r="I500"/>
  <c r="I502"/>
  <c r="I504"/>
  <c r="I506"/>
  <c r="I508"/>
  <c r="I510"/>
  <c r="I512"/>
  <c r="I514"/>
  <c r="I516"/>
  <c r="I518"/>
  <c r="I520"/>
  <c r="I522"/>
  <c r="I524"/>
  <c r="I526"/>
  <c r="I528"/>
  <c r="I530"/>
  <c r="I532"/>
  <c r="I534"/>
  <c r="I536"/>
  <c r="I538"/>
  <c r="I540"/>
  <c r="I542"/>
  <c r="I544"/>
  <c r="I546"/>
  <c r="I548"/>
  <c r="I550"/>
  <c r="I552"/>
  <c r="I68"/>
  <c r="I76"/>
  <c r="I84"/>
  <c r="I91"/>
  <c r="I95"/>
  <c r="I99"/>
  <c r="I103"/>
  <c r="I107"/>
  <c r="I111"/>
  <c r="I115"/>
  <c r="I119"/>
  <c r="I123"/>
  <c r="I127"/>
  <c r="I131"/>
  <c r="I135"/>
  <c r="I139"/>
  <c r="I143"/>
  <c r="I147"/>
  <c r="I151"/>
  <c r="I155"/>
  <c r="I159"/>
  <c r="I163"/>
  <c r="I167"/>
  <c r="I171"/>
  <c r="I175"/>
  <c r="I179"/>
  <c r="I183"/>
  <c r="I187"/>
  <c r="I191"/>
  <c r="I195"/>
  <c r="I199"/>
  <c r="I203"/>
  <c r="I207"/>
  <c r="I211"/>
  <c r="I215"/>
  <c r="I219"/>
  <c r="I223"/>
  <c r="I227"/>
  <c r="I231"/>
  <c r="I235"/>
  <c r="I239"/>
  <c r="I243"/>
  <c r="I247"/>
  <c r="I251"/>
  <c r="I255"/>
  <c r="I259"/>
  <c r="I263"/>
  <c r="I267"/>
  <c r="I271"/>
  <c r="I275"/>
  <c r="I279"/>
  <c r="I283"/>
  <c r="I287"/>
  <c r="I291"/>
  <c r="I295"/>
  <c r="I299"/>
  <c r="I303"/>
  <c r="I307"/>
  <c r="I311"/>
  <c r="I315"/>
  <c r="I319"/>
  <c r="I323"/>
  <c r="I327"/>
  <c r="I331"/>
  <c r="I335"/>
  <c r="I339"/>
  <c r="I343"/>
  <c r="I347"/>
  <c r="I351"/>
  <c r="I355"/>
  <c r="I359"/>
  <c r="I363"/>
  <c r="I367"/>
  <c r="I371"/>
  <c r="I375"/>
  <c r="I379"/>
  <c r="I383"/>
  <c r="I387"/>
  <c r="I391"/>
  <c r="I395"/>
  <c r="I399"/>
  <c r="I403"/>
  <c r="I407"/>
  <c r="I411"/>
  <c r="I415"/>
  <c r="I419"/>
  <c r="I423"/>
  <c r="I427"/>
  <c r="I431"/>
  <c r="I435"/>
  <c r="I439"/>
  <c r="I443"/>
  <c r="I447"/>
  <c r="I451"/>
  <c r="I455"/>
  <c r="I459"/>
  <c r="I463"/>
  <c r="I467"/>
  <c r="I471"/>
  <c r="I475"/>
  <c r="I479"/>
  <c r="I483"/>
  <c r="I487"/>
  <c r="I491"/>
  <c r="I495"/>
  <c r="I499"/>
  <c r="I503"/>
  <c r="I507"/>
  <c r="I511"/>
  <c r="I515"/>
  <c r="I519"/>
  <c r="I523"/>
  <c r="I527"/>
  <c r="I531"/>
  <c r="I535"/>
  <c r="I539"/>
  <c r="I543"/>
  <c r="I547"/>
  <c r="I551"/>
  <c r="I72"/>
  <c r="I80"/>
  <c r="I88"/>
  <c r="I93"/>
  <c r="I97"/>
  <c r="I101"/>
  <c r="I105"/>
  <c r="I109"/>
  <c r="I113"/>
  <c r="I117"/>
  <c r="I121"/>
  <c r="I125"/>
  <c r="I129"/>
  <c r="I133"/>
  <c r="I137"/>
  <c r="I141"/>
  <c r="I145"/>
  <c r="I149"/>
  <c r="I153"/>
  <c r="I157"/>
  <c r="I161"/>
  <c r="I165"/>
  <c r="I169"/>
  <c r="I173"/>
  <c r="I177"/>
  <c r="I181"/>
  <c r="I185"/>
  <c r="I189"/>
  <c r="I193"/>
  <c r="I197"/>
  <c r="I201"/>
  <c r="I205"/>
  <c r="I209"/>
  <c r="I213"/>
  <c r="I217"/>
  <c r="I221"/>
  <c r="I225"/>
  <c r="I229"/>
  <c r="I233"/>
  <c r="I237"/>
  <c r="I241"/>
  <c r="I245"/>
  <c r="I249"/>
  <c r="I253"/>
  <c r="I257"/>
  <c r="I261"/>
  <c r="I265"/>
  <c r="I269"/>
  <c r="I273"/>
  <c r="I277"/>
  <c r="I281"/>
  <c r="I285"/>
  <c r="I289"/>
  <c r="I293"/>
  <c r="I297"/>
  <c r="I301"/>
  <c r="I305"/>
  <c r="I309"/>
  <c r="I313"/>
  <c r="I317"/>
  <c r="I321"/>
  <c r="I325"/>
  <c r="I329"/>
  <c r="I333"/>
  <c r="I337"/>
  <c r="I341"/>
  <c r="I345"/>
  <c r="I349"/>
  <c r="I353"/>
  <c r="I357"/>
  <c r="I361"/>
  <c r="I365"/>
  <c r="I369"/>
  <c r="I373"/>
  <c r="I377"/>
  <c r="I381"/>
  <c r="I385"/>
  <c r="I389"/>
  <c r="I393"/>
  <c r="I397"/>
  <c r="I401"/>
  <c r="I405"/>
  <c r="I409"/>
  <c r="I413"/>
  <c r="I417"/>
  <c r="I421"/>
  <c r="I425"/>
  <c r="I429"/>
  <c r="I433"/>
  <c r="I437"/>
  <c r="I441"/>
  <c r="I445"/>
  <c r="I449"/>
  <c r="I453"/>
  <c r="I457"/>
  <c r="I461"/>
  <c r="I465"/>
  <c r="I469"/>
  <c r="I473"/>
  <c r="I477"/>
  <c r="I481"/>
  <c r="I485"/>
  <c r="I489"/>
  <c r="I493"/>
  <c r="I497"/>
  <c r="I501"/>
  <c r="I505"/>
  <c r="I509"/>
  <c r="I513"/>
  <c r="I517"/>
  <c r="I521"/>
  <c r="I525"/>
  <c r="I529"/>
  <c r="I533"/>
  <c r="I537"/>
  <c r="I541"/>
  <c r="I545"/>
  <c r="I549"/>
  <c r="I553"/>
  <c r="I64"/>
  <c r="I53"/>
  <c r="G54"/>
  <c r="G56"/>
  <c r="G58"/>
  <c r="G60"/>
  <c r="G62"/>
  <c r="G64"/>
  <c r="G66"/>
  <c r="G68"/>
  <c r="G70"/>
  <c r="G72"/>
  <c r="G74"/>
  <c r="G76"/>
  <c r="G78"/>
  <c r="G80"/>
  <c r="G82"/>
  <c r="G84"/>
  <c r="G86"/>
  <c r="G88"/>
  <c r="G90"/>
  <c r="G92"/>
  <c r="G94"/>
  <c r="G96"/>
  <c r="G55"/>
  <c r="G59"/>
  <c r="G63"/>
  <c r="G67"/>
  <c r="G71"/>
  <c r="G75"/>
  <c r="G79"/>
  <c r="G83"/>
  <c r="G87"/>
  <c r="G91"/>
  <c r="G95"/>
  <c r="G98"/>
  <c r="G100"/>
  <c r="G102"/>
  <c r="G104"/>
  <c r="G106"/>
  <c r="G108"/>
  <c r="G110"/>
  <c r="G112"/>
  <c r="G114"/>
  <c r="G116"/>
  <c r="G118"/>
  <c r="G120"/>
  <c r="G122"/>
  <c r="G124"/>
  <c r="G126"/>
  <c r="G128"/>
  <c r="G130"/>
  <c r="G132"/>
  <c r="G134"/>
  <c r="G136"/>
  <c r="G138"/>
  <c r="G140"/>
  <c r="G142"/>
  <c r="G144"/>
  <c r="G146"/>
  <c r="G148"/>
  <c r="G150"/>
  <c r="G152"/>
  <c r="G154"/>
  <c r="G156"/>
  <c r="G158"/>
  <c r="G160"/>
  <c r="G162"/>
  <c r="G164"/>
  <c r="G166"/>
  <c r="G168"/>
  <c r="G170"/>
  <c r="G172"/>
  <c r="G174"/>
  <c r="G176"/>
  <c r="G178"/>
  <c r="G180"/>
  <c r="G182"/>
  <c r="G184"/>
  <c r="G186"/>
  <c r="G188"/>
  <c r="G190"/>
  <c r="G192"/>
  <c r="G194"/>
  <c r="G196"/>
  <c r="G198"/>
  <c r="G200"/>
  <c r="G202"/>
  <c r="G204"/>
  <c r="G206"/>
  <c r="G208"/>
  <c r="G210"/>
  <c r="G212"/>
  <c r="G214"/>
  <c r="G216"/>
  <c r="G218"/>
  <c r="G220"/>
  <c r="G222"/>
  <c r="G224"/>
  <c r="G226"/>
  <c r="G228"/>
  <c r="G230"/>
  <c r="G232"/>
  <c r="G234"/>
  <c r="G236"/>
  <c r="G238"/>
  <c r="G240"/>
  <c r="G242"/>
  <c r="G244"/>
  <c r="G246"/>
  <c r="G248"/>
  <c r="G250"/>
  <c r="G252"/>
  <c r="G254"/>
  <c r="G256"/>
  <c r="G258"/>
  <c r="G260"/>
  <c r="G262"/>
  <c r="G264"/>
  <c r="G266"/>
  <c r="G268"/>
  <c r="G270"/>
  <c r="G272"/>
  <c r="G274"/>
  <c r="G276"/>
  <c r="G278"/>
  <c r="G280"/>
  <c r="G282"/>
  <c r="G284"/>
  <c r="G286"/>
  <c r="G288"/>
  <c r="G290"/>
  <c r="G292"/>
  <c r="G294"/>
  <c r="G296"/>
  <c r="G298"/>
  <c r="G300"/>
  <c r="G302"/>
  <c r="G304"/>
  <c r="G306"/>
  <c r="G308"/>
  <c r="G310"/>
  <c r="G312"/>
  <c r="G314"/>
  <c r="G316"/>
  <c r="G318"/>
  <c r="G320"/>
  <c r="G322"/>
  <c r="G324"/>
  <c r="G326"/>
  <c r="G328"/>
  <c r="G330"/>
  <c r="G332"/>
  <c r="G334"/>
  <c r="G336"/>
  <c r="G338"/>
  <c r="G340"/>
  <c r="G342"/>
  <c r="G344"/>
  <c r="G346"/>
  <c r="G348"/>
  <c r="G350"/>
  <c r="G352"/>
  <c r="G354"/>
  <c r="G356"/>
  <c r="G358"/>
  <c r="G360"/>
  <c r="G362"/>
  <c r="G364"/>
  <c r="G366"/>
  <c r="G368"/>
  <c r="G370"/>
  <c r="G372"/>
  <c r="G374"/>
  <c r="G376"/>
  <c r="G378"/>
  <c r="G380"/>
  <c r="G382"/>
  <c r="G384"/>
  <c r="G386"/>
  <c r="G388"/>
  <c r="G390"/>
  <c r="G392"/>
  <c r="G394"/>
  <c r="G396"/>
  <c r="G398"/>
  <c r="G400"/>
  <c r="G402"/>
  <c r="G404"/>
  <c r="G406"/>
  <c r="G408"/>
  <c r="G410"/>
  <c r="G412"/>
  <c r="G414"/>
  <c r="G416"/>
  <c r="G418"/>
  <c r="G420"/>
  <c r="G422"/>
  <c r="G424"/>
  <c r="G426"/>
  <c r="G428"/>
  <c r="G430"/>
  <c r="G432"/>
  <c r="G434"/>
  <c r="G436"/>
  <c r="G438"/>
  <c r="G440"/>
  <c r="G442"/>
  <c r="G444"/>
  <c r="G446"/>
  <c r="G448"/>
  <c r="G450"/>
  <c r="G452"/>
  <c r="G454"/>
  <c r="G456"/>
  <c r="G458"/>
  <c r="G460"/>
  <c r="G462"/>
  <c r="G464"/>
  <c r="G466"/>
  <c r="G468"/>
  <c r="G470"/>
  <c r="G472"/>
  <c r="G474"/>
  <c r="G476"/>
  <c r="G478"/>
  <c r="G480"/>
  <c r="G482"/>
  <c r="G484"/>
  <c r="G486"/>
  <c r="G488"/>
  <c r="G490"/>
  <c r="G492"/>
  <c r="G494"/>
  <c r="G496"/>
  <c r="G498"/>
  <c r="G500"/>
  <c r="G502"/>
  <c r="G504"/>
  <c r="G506"/>
  <c r="G508"/>
  <c r="G510"/>
  <c r="G512"/>
  <c r="G514"/>
  <c r="G516"/>
  <c r="G518"/>
  <c r="G520"/>
  <c r="G522"/>
  <c r="G524"/>
  <c r="G526"/>
  <c r="G528"/>
  <c r="G530"/>
  <c r="G532"/>
  <c r="G534"/>
  <c r="G536"/>
  <c r="G538"/>
  <c r="G540"/>
  <c r="G542"/>
  <c r="G544"/>
  <c r="G546"/>
  <c r="G548"/>
  <c r="G550"/>
  <c r="G552"/>
  <c r="G53"/>
  <c r="G57"/>
  <c r="G61"/>
  <c r="G65"/>
  <c r="G69"/>
  <c r="G73"/>
  <c r="G77"/>
  <c r="G81"/>
  <c r="G85"/>
  <c r="G89"/>
  <c r="G93"/>
  <c r="G97"/>
  <c r="G99"/>
  <c r="G101"/>
  <c r="G103"/>
  <c r="G105"/>
  <c r="G107"/>
  <c r="G109"/>
  <c r="G111"/>
  <c r="G113"/>
  <c r="G115"/>
  <c r="G117"/>
  <c r="G119"/>
  <c r="G121"/>
  <c r="G123"/>
  <c r="G125"/>
  <c r="G127"/>
  <c r="G129"/>
  <c r="G131"/>
  <c r="G133"/>
  <c r="G135"/>
  <c r="G137"/>
  <c r="G139"/>
  <c r="G141"/>
  <c r="G143"/>
  <c r="G145"/>
  <c r="G147"/>
  <c r="G149"/>
  <c r="G151"/>
  <c r="G153"/>
  <c r="G155"/>
  <c r="G157"/>
  <c r="G161"/>
  <c r="G165"/>
  <c r="G169"/>
  <c r="G173"/>
  <c r="G177"/>
  <c r="G181"/>
  <c r="G185"/>
  <c r="G189"/>
  <c r="G193"/>
  <c r="G197"/>
  <c r="G201"/>
  <c r="G205"/>
  <c r="G209"/>
  <c r="G213"/>
  <c r="G217"/>
  <c r="G221"/>
  <c r="G225"/>
  <c r="G229"/>
  <c r="G233"/>
  <c r="G237"/>
  <c r="G241"/>
  <c r="G245"/>
  <c r="G249"/>
  <c r="G253"/>
  <c r="G257"/>
  <c r="G261"/>
  <c r="G265"/>
  <c r="G269"/>
  <c r="G273"/>
  <c r="G277"/>
  <c r="G281"/>
  <c r="G285"/>
  <c r="G289"/>
  <c r="G293"/>
  <c r="G297"/>
  <c r="G301"/>
  <c r="G305"/>
  <c r="G309"/>
  <c r="G313"/>
  <c r="G317"/>
  <c r="G321"/>
  <c r="G325"/>
  <c r="G329"/>
  <c r="G333"/>
  <c r="G337"/>
  <c r="G341"/>
  <c r="G345"/>
  <c r="G349"/>
  <c r="G353"/>
  <c r="G357"/>
  <c r="G361"/>
  <c r="G365"/>
  <c r="G369"/>
  <c r="G373"/>
  <c r="G377"/>
  <c r="G381"/>
  <c r="G385"/>
  <c r="G389"/>
  <c r="G393"/>
  <c r="G397"/>
  <c r="G401"/>
  <c r="G405"/>
  <c r="G409"/>
  <c r="G413"/>
  <c r="G417"/>
  <c r="G421"/>
  <c r="G425"/>
  <c r="G429"/>
  <c r="G433"/>
  <c r="G437"/>
  <c r="G441"/>
  <c r="G445"/>
  <c r="G449"/>
  <c r="G453"/>
  <c r="G457"/>
  <c r="G461"/>
  <c r="G465"/>
  <c r="G469"/>
  <c r="G473"/>
  <c r="G477"/>
  <c r="G481"/>
  <c r="G485"/>
  <c r="G489"/>
  <c r="G493"/>
  <c r="G497"/>
  <c r="G501"/>
  <c r="G505"/>
  <c r="G509"/>
  <c r="G513"/>
  <c r="G517"/>
  <c r="G521"/>
  <c r="G525"/>
  <c r="G529"/>
  <c r="G533"/>
  <c r="G537"/>
  <c r="G541"/>
  <c r="G545"/>
  <c r="G549"/>
  <c r="G553"/>
  <c r="G159"/>
  <c r="G163"/>
  <c r="G167"/>
  <c r="G171"/>
  <c r="G175"/>
  <c r="G179"/>
  <c r="G183"/>
  <c r="G187"/>
  <c r="G191"/>
  <c r="G195"/>
  <c r="G199"/>
  <c r="G203"/>
  <c r="G207"/>
  <c r="G211"/>
  <c r="G215"/>
  <c r="G219"/>
  <c r="G223"/>
  <c r="G227"/>
  <c r="G231"/>
  <c r="G235"/>
  <c r="G239"/>
  <c r="G243"/>
  <c r="G247"/>
  <c r="G251"/>
  <c r="G255"/>
  <c r="G259"/>
  <c r="G263"/>
  <c r="G267"/>
  <c r="G271"/>
  <c r="G275"/>
  <c r="G279"/>
  <c r="G283"/>
  <c r="G287"/>
  <c r="G291"/>
  <c r="G295"/>
  <c r="G299"/>
  <c r="G303"/>
  <c r="G307"/>
  <c r="G311"/>
  <c r="G315"/>
  <c r="G319"/>
  <c r="G323"/>
  <c r="G327"/>
  <c r="G331"/>
  <c r="G335"/>
  <c r="G339"/>
  <c r="G343"/>
  <c r="G347"/>
  <c r="G351"/>
  <c r="G355"/>
  <c r="G359"/>
  <c r="G363"/>
  <c r="G367"/>
  <c r="G371"/>
  <c r="G375"/>
  <c r="G379"/>
  <c r="G383"/>
  <c r="G387"/>
  <c r="G391"/>
  <c r="G395"/>
  <c r="G399"/>
  <c r="G403"/>
  <c r="G407"/>
  <c r="G411"/>
  <c r="G415"/>
  <c r="G419"/>
  <c r="G423"/>
  <c r="G427"/>
  <c r="G431"/>
  <c r="G435"/>
  <c r="G439"/>
  <c r="G443"/>
  <c r="G447"/>
  <c r="G451"/>
  <c r="G455"/>
  <c r="G459"/>
  <c r="G463"/>
  <c r="G467"/>
  <c r="G471"/>
  <c r="G475"/>
  <c r="G479"/>
  <c r="G483"/>
  <c r="G487"/>
  <c r="G491"/>
  <c r="G495"/>
  <c r="G499"/>
  <c r="G503"/>
  <c r="G507"/>
  <c r="G511"/>
  <c r="G515"/>
  <c r="G519"/>
  <c r="G523"/>
  <c r="G527"/>
  <c r="G531"/>
  <c r="G535"/>
  <c r="G539"/>
  <c r="G543"/>
  <c r="G547"/>
  <c r="G551"/>
  <c r="J55"/>
  <c r="J57"/>
  <c r="J59"/>
  <c r="J61"/>
  <c r="J63"/>
  <c r="J65"/>
  <c r="J67"/>
  <c r="J69"/>
  <c r="J71"/>
  <c r="J73"/>
  <c r="J75"/>
  <c r="J77"/>
  <c r="J79"/>
  <c r="J81"/>
  <c r="J83"/>
  <c r="J85"/>
  <c r="J87"/>
  <c r="J89"/>
  <c r="J91"/>
  <c r="J93"/>
  <c r="J95"/>
  <c r="J97"/>
  <c r="J99"/>
  <c r="J101"/>
  <c r="J103"/>
  <c r="J105"/>
  <c r="J107"/>
  <c r="J109"/>
  <c r="J111"/>
  <c r="J113"/>
  <c r="J115"/>
  <c r="J117"/>
  <c r="J119"/>
  <c r="J121"/>
  <c r="J123"/>
  <c r="J125"/>
  <c r="J127"/>
  <c r="J129"/>
  <c r="J131"/>
  <c r="J133"/>
  <c r="J135"/>
  <c r="J137"/>
  <c r="J139"/>
  <c r="J141"/>
  <c r="J143"/>
  <c r="J145"/>
  <c r="J147"/>
  <c r="J149"/>
  <c r="J151"/>
  <c r="J153"/>
  <c r="J155"/>
  <c r="J157"/>
  <c r="J159"/>
  <c r="J161"/>
  <c r="J163"/>
  <c r="J165"/>
  <c r="J167"/>
  <c r="J169"/>
  <c r="J171"/>
  <c r="J173"/>
  <c r="J175"/>
  <c r="J177"/>
  <c r="J179"/>
  <c r="J181"/>
  <c r="J183"/>
  <c r="J185"/>
  <c r="J187"/>
  <c r="J189"/>
  <c r="J191"/>
  <c r="J193"/>
  <c r="J195"/>
  <c r="J197"/>
  <c r="J199"/>
  <c r="J201"/>
  <c r="J203"/>
  <c r="J205"/>
  <c r="J207"/>
  <c r="J209"/>
  <c r="J211"/>
  <c r="J213"/>
  <c r="J215"/>
  <c r="J217"/>
  <c r="J219"/>
  <c r="J221"/>
  <c r="J223"/>
  <c r="J225"/>
  <c r="J227"/>
  <c r="J229"/>
  <c r="J231"/>
  <c r="J233"/>
  <c r="J235"/>
  <c r="J237"/>
  <c r="J239"/>
  <c r="J241"/>
  <c r="J243"/>
  <c r="J245"/>
  <c r="J247"/>
  <c r="J249"/>
  <c r="J251"/>
  <c r="J253"/>
  <c r="J255"/>
  <c r="J257"/>
  <c r="J259"/>
  <c r="J261"/>
  <c r="J263"/>
  <c r="J265"/>
  <c r="J267"/>
  <c r="J269"/>
  <c r="J271"/>
  <c r="J273"/>
  <c r="J275"/>
  <c r="J277"/>
  <c r="J279"/>
  <c r="J281"/>
  <c r="J283"/>
  <c r="J285"/>
  <c r="J287"/>
  <c r="J289"/>
  <c r="J291"/>
  <c r="J293"/>
  <c r="J295"/>
  <c r="J297"/>
  <c r="J299"/>
  <c r="J301"/>
  <c r="J303"/>
  <c r="J305"/>
  <c r="J307"/>
  <c r="J309"/>
  <c r="J311"/>
  <c r="J313"/>
  <c r="J315"/>
  <c r="J317"/>
  <c r="J319"/>
  <c r="J321"/>
  <c r="J323"/>
  <c r="J325"/>
  <c r="J327"/>
  <c r="J329"/>
  <c r="J331"/>
  <c r="J333"/>
  <c r="J335"/>
  <c r="J337"/>
  <c r="J339"/>
  <c r="J341"/>
  <c r="J343"/>
  <c r="J345"/>
  <c r="J347"/>
  <c r="J349"/>
  <c r="J351"/>
  <c r="J353"/>
  <c r="J355"/>
  <c r="J357"/>
  <c r="J359"/>
  <c r="J361"/>
  <c r="J363"/>
  <c r="J365"/>
  <c r="J367"/>
  <c r="J369"/>
  <c r="J371"/>
  <c r="J373"/>
  <c r="J375"/>
  <c r="J377"/>
  <c r="J379"/>
  <c r="J381"/>
  <c r="J383"/>
  <c r="J385"/>
  <c r="J387"/>
  <c r="J389"/>
  <c r="J391"/>
  <c r="J393"/>
  <c r="J395"/>
  <c r="J397"/>
  <c r="J399"/>
  <c r="J401"/>
  <c r="J403"/>
  <c r="J405"/>
  <c r="J407"/>
  <c r="J409"/>
  <c r="J411"/>
  <c r="J413"/>
  <c r="J415"/>
  <c r="J417"/>
  <c r="J419"/>
  <c r="J421"/>
  <c r="J423"/>
  <c r="J425"/>
  <c r="J427"/>
  <c r="J429"/>
  <c r="J431"/>
  <c r="J433"/>
  <c r="J435"/>
  <c r="J437"/>
  <c r="J439"/>
  <c r="J441"/>
  <c r="J443"/>
  <c r="J445"/>
  <c r="J447"/>
  <c r="J449"/>
  <c r="J451"/>
  <c r="J453"/>
  <c r="J455"/>
  <c r="J457"/>
  <c r="J459"/>
  <c r="J461"/>
  <c r="J463"/>
  <c r="J465"/>
  <c r="J467"/>
  <c r="J469"/>
  <c r="J471"/>
  <c r="J473"/>
  <c r="J475"/>
  <c r="J477"/>
  <c r="J479"/>
  <c r="J481"/>
  <c r="J483"/>
  <c r="J485"/>
  <c r="J487"/>
  <c r="J489"/>
  <c r="J491"/>
  <c r="J493"/>
  <c r="J495"/>
  <c r="J497"/>
  <c r="J499"/>
  <c r="J501"/>
  <c r="J503"/>
  <c r="J505"/>
  <c r="J507"/>
  <c r="J509"/>
  <c r="J511"/>
  <c r="J513"/>
  <c r="J515"/>
  <c r="J517"/>
  <c r="J519"/>
  <c r="J521"/>
  <c r="J523"/>
  <c r="J525"/>
  <c r="J527"/>
  <c r="J529"/>
  <c r="J531"/>
  <c r="J533"/>
  <c r="J535"/>
  <c r="J537"/>
  <c r="J539"/>
  <c r="J541"/>
  <c r="J543"/>
  <c r="J545"/>
  <c r="J547"/>
  <c r="J549"/>
  <c r="J551"/>
  <c r="J553"/>
  <c r="J54"/>
  <c r="J56"/>
  <c r="J58"/>
  <c r="J60"/>
  <c r="J62"/>
  <c r="J64"/>
  <c r="J66"/>
  <c r="J68"/>
  <c r="J70"/>
  <c r="J72"/>
  <c r="J74"/>
  <c r="J76"/>
  <c r="J78"/>
  <c r="J80"/>
  <c r="J82"/>
  <c r="J84"/>
  <c r="J86"/>
  <c r="J88"/>
  <c r="J90"/>
  <c r="J92"/>
  <c r="J94"/>
  <c r="J96"/>
  <c r="J98"/>
  <c r="J100"/>
  <c r="J102"/>
  <c r="J104"/>
  <c r="J106"/>
  <c r="J108"/>
  <c r="J110"/>
  <c r="J112"/>
  <c r="J114"/>
  <c r="J116"/>
  <c r="J118"/>
  <c r="J120"/>
  <c r="J122"/>
  <c r="J124"/>
  <c r="J126"/>
  <c r="J128"/>
  <c r="J130"/>
  <c r="J132"/>
  <c r="J134"/>
  <c r="J136"/>
  <c r="J138"/>
  <c r="J140"/>
  <c r="J142"/>
  <c r="J144"/>
  <c r="J146"/>
  <c r="J148"/>
  <c r="J150"/>
  <c r="J152"/>
  <c r="J154"/>
  <c r="J156"/>
  <c r="J158"/>
  <c r="J160"/>
  <c r="J162"/>
  <c r="J164"/>
  <c r="J166"/>
  <c r="J168"/>
  <c r="J170"/>
  <c r="J172"/>
  <c r="J174"/>
  <c r="J176"/>
  <c r="J178"/>
  <c r="J180"/>
  <c r="J182"/>
  <c r="J184"/>
  <c r="J186"/>
  <c r="J188"/>
  <c r="J190"/>
  <c r="J192"/>
  <c r="J194"/>
  <c r="J196"/>
  <c r="J198"/>
  <c r="J200"/>
  <c r="J202"/>
  <c r="J204"/>
  <c r="J206"/>
  <c r="J208"/>
  <c r="J210"/>
  <c r="J212"/>
  <c r="J214"/>
  <c r="J216"/>
  <c r="J218"/>
  <c r="J220"/>
  <c r="J222"/>
  <c r="J224"/>
  <c r="J226"/>
  <c r="J228"/>
  <c r="J230"/>
  <c r="J232"/>
  <c r="J234"/>
  <c r="J236"/>
  <c r="J238"/>
  <c r="J240"/>
  <c r="J242"/>
  <c r="J244"/>
  <c r="J246"/>
  <c r="J248"/>
  <c r="J250"/>
  <c r="J252"/>
  <c r="J254"/>
  <c r="J256"/>
  <c r="J258"/>
  <c r="J260"/>
  <c r="J262"/>
  <c r="J264"/>
  <c r="J266"/>
  <c r="J268"/>
  <c r="J270"/>
  <c r="J272"/>
  <c r="J274"/>
  <c r="J276"/>
  <c r="J278"/>
  <c r="J280"/>
  <c r="J282"/>
  <c r="J284"/>
  <c r="J286"/>
  <c r="J288"/>
  <c r="J290"/>
  <c r="J292"/>
  <c r="J294"/>
  <c r="J296"/>
  <c r="J298"/>
  <c r="J300"/>
  <c r="J302"/>
  <c r="J304"/>
  <c r="J306"/>
  <c r="J308"/>
  <c r="J310"/>
  <c r="J312"/>
  <c r="J314"/>
  <c r="J316"/>
  <c r="J318"/>
  <c r="J320"/>
  <c r="J322"/>
  <c r="J324"/>
  <c r="J326"/>
  <c r="J328"/>
  <c r="J330"/>
  <c r="J332"/>
  <c r="J334"/>
  <c r="J336"/>
  <c r="J338"/>
  <c r="J340"/>
  <c r="J342"/>
  <c r="J344"/>
  <c r="J346"/>
  <c r="J348"/>
  <c r="J350"/>
  <c r="J352"/>
  <c r="J354"/>
  <c r="J356"/>
  <c r="J358"/>
  <c r="J360"/>
  <c r="J362"/>
  <c r="J364"/>
  <c r="J366"/>
  <c r="J368"/>
  <c r="J370"/>
  <c r="J372"/>
  <c r="J374"/>
  <c r="J376"/>
  <c r="J378"/>
  <c r="J380"/>
  <c r="J382"/>
  <c r="J384"/>
  <c r="J386"/>
  <c r="J388"/>
  <c r="J390"/>
  <c r="J392"/>
  <c r="J394"/>
  <c r="J396"/>
  <c r="J398"/>
  <c r="J400"/>
  <c r="J402"/>
  <c r="J404"/>
  <c r="J406"/>
  <c r="J408"/>
  <c r="J410"/>
  <c r="J412"/>
  <c r="J414"/>
  <c r="J416"/>
  <c r="J418"/>
  <c r="J420"/>
  <c r="J422"/>
  <c r="J424"/>
  <c r="J426"/>
  <c r="J428"/>
  <c r="J430"/>
  <c r="J432"/>
  <c r="J434"/>
  <c r="J436"/>
  <c r="J438"/>
  <c r="J440"/>
  <c r="J442"/>
  <c r="J444"/>
  <c r="J446"/>
  <c r="J448"/>
  <c r="J450"/>
  <c r="J452"/>
  <c r="J454"/>
  <c r="J456"/>
  <c r="J458"/>
  <c r="J460"/>
  <c r="J462"/>
  <c r="J464"/>
  <c r="J466"/>
  <c r="J468"/>
  <c r="J470"/>
  <c r="J472"/>
  <c r="J474"/>
  <c r="J476"/>
  <c r="J478"/>
  <c r="J480"/>
  <c r="J482"/>
  <c r="J484"/>
  <c r="J486"/>
  <c r="J488"/>
  <c r="J490"/>
  <c r="J492"/>
  <c r="J494"/>
  <c r="J496"/>
  <c r="J498"/>
  <c r="J500"/>
  <c r="J502"/>
  <c r="J504"/>
  <c r="J506"/>
  <c r="J508"/>
  <c r="J510"/>
  <c r="J512"/>
  <c r="J514"/>
  <c r="J516"/>
  <c r="J518"/>
  <c r="J520"/>
  <c r="J522"/>
  <c r="J524"/>
  <c r="J526"/>
  <c r="J528"/>
  <c r="J530"/>
  <c r="J532"/>
  <c r="J534"/>
  <c r="J536"/>
  <c r="J538"/>
  <c r="J540"/>
  <c r="J542"/>
  <c r="J544"/>
  <c r="J546"/>
  <c r="J548"/>
  <c r="J550"/>
  <c r="J552"/>
  <c r="J53"/>
  <c r="H54"/>
  <c r="H56"/>
  <c r="H58"/>
  <c r="H60"/>
  <c r="H62"/>
  <c r="H64"/>
  <c r="H66"/>
  <c r="H68"/>
  <c r="H70"/>
  <c r="H72"/>
  <c r="H74"/>
  <c r="H76"/>
  <c r="H78"/>
  <c r="H80"/>
  <c r="H82"/>
  <c r="H84"/>
  <c r="H86"/>
  <c r="H88"/>
  <c r="H90"/>
  <c r="H92"/>
  <c r="H94"/>
  <c r="H96"/>
  <c r="H98"/>
  <c r="H100"/>
  <c r="H102"/>
  <c r="H104"/>
  <c r="H106"/>
  <c r="H108"/>
  <c r="H110"/>
  <c r="H112"/>
  <c r="H114"/>
  <c r="H116"/>
  <c r="H118"/>
  <c r="H120"/>
  <c r="H122"/>
  <c r="H124"/>
  <c r="H126"/>
  <c r="H128"/>
  <c r="H130"/>
  <c r="H132"/>
  <c r="H134"/>
  <c r="H136"/>
  <c r="H138"/>
  <c r="H140"/>
  <c r="H142"/>
  <c r="H144"/>
  <c r="H146"/>
  <c r="H148"/>
  <c r="H150"/>
  <c r="H152"/>
  <c r="H154"/>
  <c r="H156"/>
  <c r="H158"/>
  <c r="H160"/>
  <c r="H162"/>
  <c r="H164"/>
  <c r="H166"/>
  <c r="H168"/>
  <c r="H170"/>
  <c r="H172"/>
  <c r="H174"/>
  <c r="H176"/>
  <c r="H178"/>
  <c r="H180"/>
  <c r="H182"/>
  <c r="H184"/>
  <c r="H186"/>
  <c r="H188"/>
  <c r="H190"/>
  <c r="H192"/>
  <c r="H194"/>
  <c r="H196"/>
  <c r="H198"/>
  <c r="H200"/>
  <c r="H202"/>
  <c r="H204"/>
  <c r="H206"/>
  <c r="H208"/>
  <c r="H210"/>
  <c r="H212"/>
  <c r="H214"/>
  <c r="H216"/>
  <c r="H218"/>
  <c r="H220"/>
  <c r="H222"/>
  <c r="H224"/>
  <c r="H226"/>
  <c r="H228"/>
  <c r="H230"/>
  <c r="H232"/>
  <c r="H234"/>
  <c r="H236"/>
  <c r="H238"/>
  <c r="H240"/>
  <c r="H242"/>
  <c r="H244"/>
  <c r="H246"/>
  <c r="H248"/>
  <c r="H250"/>
  <c r="H252"/>
  <c r="H254"/>
  <c r="H256"/>
  <c r="H258"/>
  <c r="H260"/>
  <c r="H262"/>
  <c r="H264"/>
  <c r="H266"/>
  <c r="H268"/>
  <c r="H270"/>
  <c r="H272"/>
  <c r="H274"/>
  <c r="H276"/>
  <c r="H278"/>
  <c r="H280"/>
  <c r="H282"/>
  <c r="H284"/>
  <c r="H286"/>
  <c r="H288"/>
  <c r="H290"/>
  <c r="H292"/>
  <c r="H294"/>
  <c r="H296"/>
  <c r="H298"/>
  <c r="H300"/>
  <c r="H302"/>
  <c r="H304"/>
  <c r="H306"/>
  <c r="H308"/>
  <c r="H310"/>
  <c r="H312"/>
  <c r="H314"/>
  <c r="H316"/>
  <c r="H318"/>
  <c r="H320"/>
  <c r="H322"/>
  <c r="H324"/>
  <c r="H326"/>
  <c r="H328"/>
  <c r="H330"/>
  <c r="H332"/>
  <c r="H334"/>
  <c r="H336"/>
  <c r="H338"/>
  <c r="H340"/>
  <c r="H342"/>
  <c r="H344"/>
  <c r="H346"/>
  <c r="H348"/>
  <c r="H350"/>
  <c r="H352"/>
  <c r="H354"/>
  <c r="H356"/>
  <c r="H358"/>
  <c r="H360"/>
  <c r="H362"/>
  <c r="H364"/>
  <c r="H366"/>
  <c r="H368"/>
  <c r="H370"/>
  <c r="H372"/>
  <c r="H374"/>
  <c r="H376"/>
  <c r="H378"/>
  <c r="H380"/>
  <c r="H382"/>
  <c r="H384"/>
  <c r="H386"/>
  <c r="H388"/>
  <c r="H390"/>
  <c r="H392"/>
  <c r="H394"/>
  <c r="H396"/>
  <c r="H398"/>
  <c r="H400"/>
  <c r="H402"/>
  <c r="H404"/>
  <c r="H406"/>
  <c r="H408"/>
  <c r="H410"/>
  <c r="H412"/>
  <c r="H414"/>
  <c r="H416"/>
  <c r="H418"/>
  <c r="H420"/>
  <c r="H422"/>
  <c r="H424"/>
  <c r="H426"/>
  <c r="H428"/>
  <c r="H430"/>
  <c r="H432"/>
  <c r="H434"/>
  <c r="H436"/>
  <c r="H438"/>
  <c r="H440"/>
  <c r="H442"/>
  <c r="H444"/>
  <c r="H446"/>
  <c r="H448"/>
  <c r="H450"/>
  <c r="H452"/>
  <c r="H454"/>
  <c r="H456"/>
  <c r="H458"/>
  <c r="H460"/>
  <c r="H462"/>
  <c r="H464"/>
  <c r="H466"/>
  <c r="H468"/>
  <c r="H470"/>
  <c r="H472"/>
  <c r="H474"/>
  <c r="H476"/>
  <c r="H478"/>
  <c r="H480"/>
  <c r="H482"/>
  <c r="H484"/>
  <c r="H486"/>
  <c r="H488"/>
  <c r="H490"/>
  <c r="H492"/>
  <c r="H494"/>
  <c r="H496"/>
  <c r="H498"/>
  <c r="H500"/>
  <c r="H502"/>
  <c r="H504"/>
  <c r="H506"/>
  <c r="H508"/>
  <c r="H510"/>
  <c r="H512"/>
  <c r="H514"/>
  <c r="H516"/>
  <c r="H518"/>
  <c r="H520"/>
  <c r="H522"/>
  <c r="H524"/>
  <c r="H526"/>
  <c r="H528"/>
  <c r="H530"/>
  <c r="H532"/>
  <c r="H534"/>
  <c r="H536"/>
  <c r="H538"/>
  <c r="H540"/>
  <c r="H542"/>
  <c r="H544"/>
  <c r="H546"/>
  <c r="H548"/>
  <c r="H550"/>
  <c r="H552"/>
  <c r="H55"/>
  <c r="H59"/>
  <c r="H63"/>
  <c r="H67"/>
  <c r="H71"/>
  <c r="H75"/>
  <c r="H79"/>
  <c r="H83"/>
  <c r="H87"/>
  <c r="H91"/>
  <c r="H95"/>
  <c r="H99"/>
  <c r="H103"/>
  <c r="H107"/>
  <c r="H111"/>
  <c r="H115"/>
  <c r="H119"/>
  <c r="H123"/>
  <c r="H127"/>
  <c r="H131"/>
  <c r="H135"/>
  <c r="H139"/>
  <c r="H143"/>
  <c r="H147"/>
  <c r="H151"/>
  <c r="H155"/>
  <c r="H159"/>
  <c r="H163"/>
  <c r="H167"/>
  <c r="H171"/>
  <c r="H175"/>
  <c r="H179"/>
  <c r="H183"/>
  <c r="H187"/>
  <c r="H191"/>
  <c r="H195"/>
  <c r="H199"/>
  <c r="H203"/>
  <c r="H207"/>
  <c r="H211"/>
  <c r="H215"/>
  <c r="H219"/>
  <c r="H223"/>
  <c r="H227"/>
  <c r="H231"/>
  <c r="H235"/>
  <c r="H239"/>
  <c r="H243"/>
  <c r="H247"/>
  <c r="H251"/>
  <c r="H255"/>
  <c r="H259"/>
  <c r="H263"/>
  <c r="H267"/>
  <c r="H271"/>
  <c r="H275"/>
  <c r="H279"/>
  <c r="H283"/>
  <c r="H287"/>
  <c r="H291"/>
  <c r="H295"/>
  <c r="H299"/>
  <c r="H303"/>
  <c r="H307"/>
  <c r="H311"/>
  <c r="H315"/>
  <c r="H319"/>
  <c r="H323"/>
  <c r="H327"/>
  <c r="H331"/>
  <c r="H335"/>
  <c r="H339"/>
  <c r="H343"/>
  <c r="H347"/>
  <c r="H351"/>
  <c r="H355"/>
  <c r="H359"/>
  <c r="H363"/>
  <c r="H367"/>
  <c r="H371"/>
  <c r="H375"/>
  <c r="H379"/>
  <c r="H383"/>
  <c r="H387"/>
  <c r="H391"/>
  <c r="H395"/>
  <c r="H399"/>
  <c r="H403"/>
  <c r="H407"/>
  <c r="H411"/>
  <c r="H415"/>
  <c r="H419"/>
  <c r="H423"/>
  <c r="H427"/>
  <c r="H431"/>
  <c r="H435"/>
  <c r="H439"/>
  <c r="H443"/>
  <c r="H447"/>
  <c r="H451"/>
  <c r="H455"/>
  <c r="H459"/>
  <c r="H463"/>
  <c r="H467"/>
  <c r="H471"/>
  <c r="H475"/>
  <c r="H479"/>
  <c r="H483"/>
  <c r="H487"/>
  <c r="H491"/>
  <c r="H495"/>
  <c r="H499"/>
  <c r="H503"/>
  <c r="H507"/>
  <c r="H511"/>
  <c r="H515"/>
  <c r="H519"/>
  <c r="H523"/>
  <c r="H527"/>
  <c r="H531"/>
  <c r="H535"/>
  <c r="H539"/>
  <c r="H543"/>
  <c r="H547"/>
  <c r="H551"/>
  <c r="H53"/>
  <c r="H57"/>
  <c r="H61"/>
  <c r="H65"/>
  <c r="H69"/>
  <c r="H73"/>
  <c r="H77"/>
  <c r="H81"/>
  <c r="H85"/>
  <c r="H89"/>
  <c r="H93"/>
  <c r="H97"/>
  <c r="H101"/>
  <c r="H105"/>
  <c r="H109"/>
  <c r="H113"/>
  <c r="H117"/>
  <c r="H121"/>
  <c r="H125"/>
  <c r="H129"/>
  <c r="H133"/>
  <c r="H137"/>
  <c r="H141"/>
  <c r="H145"/>
  <c r="H149"/>
  <c r="H153"/>
  <c r="H157"/>
  <c r="H161"/>
  <c r="H165"/>
  <c r="H169"/>
  <c r="H173"/>
  <c r="H177"/>
  <c r="H181"/>
  <c r="H185"/>
  <c r="H189"/>
  <c r="H193"/>
  <c r="H197"/>
  <c r="H201"/>
  <c r="H205"/>
  <c r="H209"/>
  <c r="H213"/>
  <c r="H217"/>
  <c r="H221"/>
  <c r="H225"/>
  <c r="H229"/>
  <c r="H233"/>
  <c r="H237"/>
  <c r="H241"/>
  <c r="H245"/>
  <c r="H249"/>
  <c r="H253"/>
  <c r="H257"/>
  <c r="H261"/>
  <c r="H265"/>
  <c r="H269"/>
  <c r="H273"/>
  <c r="H277"/>
  <c r="H281"/>
  <c r="H285"/>
  <c r="H289"/>
  <c r="H293"/>
  <c r="H297"/>
  <c r="H301"/>
  <c r="H305"/>
  <c r="H309"/>
  <c r="H313"/>
  <c r="H317"/>
  <c r="H321"/>
  <c r="H325"/>
  <c r="H329"/>
  <c r="H333"/>
  <c r="H337"/>
  <c r="H341"/>
  <c r="H345"/>
  <c r="H349"/>
  <c r="H353"/>
  <c r="H357"/>
  <c r="H361"/>
  <c r="H365"/>
  <c r="H369"/>
  <c r="H373"/>
  <c r="H377"/>
  <c r="H381"/>
  <c r="H385"/>
  <c r="H389"/>
  <c r="H393"/>
  <c r="H397"/>
  <c r="H401"/>
  <c r="H405"/>
  <c r="H409"/>
  <c r="H413"/>
  <c r="H417"/>
  <c r="H421"/>
  <c r="H425"/>
  <c r="H429"/>
  <c r="H433"/>
  <c r="H437"/>
  <c r="H441"/>
  <c r="H445"/>
  <c r="H449"/>
  <c r="H453"/>
  <c r="H457"/>
  <c r="H461"/>
  <c r="H465"/>
  <c r="H469"/>
  <c r="H473"/>
  <c r="H477"/>
  <c r="H481"/>
  <c r="H485"/>
  <c r="H489"/>
  <c r="H493"/>
  <c r="H497"/>
  <c r="H501"/>
  <c r="H505"/>
  <c r="H509"/>
  <c r="H513"/>
  <c r="H517"/>
  <c r="H521"/>
  <c r="H525"/>
  <c r="H529"/>
  <c r="H533"/>
  <c r="H537"/>
  <c r="H541"/>
  <c r="H545"/>
  <c r="H549"/>
  <c r="H553"/>
  <c r="I16"/>
  <c r="I17"/>
  <c r="G16"/>
  <c r="G17"/>
  <c r="E16"/>
  <c r="E17"/>
  <c r="H16"/>
  <c r="H17"/>
  <c r="F16"/>
  <c r="F17"/>
  <c r="F39" i="1"/>
  <c r="G39" s="1"/>
  <c r="H39" s="1"/>
  <c r="I39" s="1"/>
  <c r="J39" s="1"/>
  <c r="U41" i="3" l="1"/>
  <c r="U44"/>
  <c r="K38" i="1"/>
  <c r="J41"/>
  <c r="J44"/>
  <c r="D103"/>
  <c r="D102"/>
  <c r="D101"/>
  <c r="L551" i="2"/>
  <c r="L543"/>
  <c r="L535"/>
  <c r="L527"/>
  <c r="L519"/>
  <c r="L511"/>
  <c r="L503"/>
  <c r="L495"/>
  <c r="L487"/>
  <c r="L479"/>
  <c r="L471"/>
  <c r="L463"/>
  <c r="L455"/>
  <c r="L447"/>
  <c r="L439"/>
  <c r="L431"/>
  <c r="L423"/>
  <c r="L415"/>
  <c r="L407"/>
  <c r="L399"/>
  <c r="L391"/>
  <c r="L383"/>
  <c r="L375"/>
  <c r="L367"/>
  <c r="L359"/>
  <c r="L351"/>
  <c r="L343"/>
  <c r="L335"/>
  <c r="L327"/>
  <c r="L319"/>
  <c r="L311"/>
  <c r="L303"/>
  <c r="L295"/>
  <c r="L287"/>
  <c r="L279"/>
  <c r="L271"/>
  <c r="L263"/>
  <c r="L255"/>
  <c r="L247"/>
  <c r="L239"/>
  <c r="L231"/>
  <c r="L223"/>
  <c r="L215"/>
  <c r="L207"/>
  <c r="L199"/>
  <c r="L191"/>
  <c r="L183"/>
  <c r="L175"/>
  <c r="L167"/>
  <c r="L159"/>
  <c r="L549"/>
  <c r="L541"/>
  <c r="L533"/>
  <c r="L525"/>
  <c r="L517"/>
  <c r="L509"/>
  <c r="L501"/>
  <c r="L493"/>
  <c r="L485"/>
  <c r="L477"/>
  <c r="L469"/>
  <c r="L461"/>
  <c r="L453"/>
  <c r="L445"/>
  <c r="L437"/>
  <c r="L429"/>
  <c r="L421"/>
  <c r="L413"/>
  <c r="L405"/>
  <c r="L397"/>
  <c r="L389"/>
  <c r="L381"/>
  <c r="L373"/>
  <c r="L365"/>
  <c r="L357"/>
  <c r="L349"/>
  <c r="L341"/>
  <c r="L333"/>
  <c r="L325"/>
  <c r="L317"/>
  <c r="L309"/>
  <c r="L301"/>
  <c r="L293"/>
  <c r="L285"/>
  <c r="L277"/>
  <c r="L269"/>
  <c r="L261"/>
  <c r="L253"/>
  <c r="L245"/>
  <c r="L237"/>
  <c r="L229"/>
  <c r="L221"/>
  <c r="L213"/>
  <c r="L205"/>
  <c r="L197"/>
  <c r="L189"/>
  <c r="L181"/>
  <c r="L173"/>
  <c r="L165"/>
  <c r="L157"/>
  <c r="L153"/>
  <c r="L149"/>
  <c r="L145"/>
  <c r="L141"/>
  <c r="L137"/>
  <c r="L133"/>
  <c r="L129"/>
  <c r="L125"/>
  <c r="L121"/>
  <c r="L117"/>
  <c r="L113"/>
  <c r="L109"/>
  <c r="L105"/>
  <c r="L101"/>
  <c r="L97"/>
  <c r="L89"/>
  <c r="L81"/>
  <c r="L73"/>
  <c r="L65"/>
  <c r="L57"/>
  <c r="L552"/>
  <c r="L548"/>
  <c r="L544"/>
  <c r="L540"/>
  <c r="L536"/>
  <c r="L532"/>
  <c r="L528"/>
  <c r="L524"/>
  <c r="L520"/>
  <c r="L516"/>
  <c r="L512"/>
  <c r="L508"/>
  <c r="L504"/>
  <c r="L500"/>
  <c r="L496"/>
  <c r="L492"/>
  <c r="L488"/>
  <c r="L484"/>
  <c r="L480"/>
  <c r="L476"/>
  <c r="L472"/>
  <c r="L468"/>
  <c r="L464"/>
  <c r="L460"/>
  <c r="L456"/>
  <c r="L452"/>
  <c r="L448"/>
  <c r="L444"/>
  <c r="L440"/>
  <c r="L436"/>
  <c r="L432"/>
  <c r="L428"/>
  <c r="L424"/>
  <c r="L420"/>
  <c r="L416"/>
  <c r="L412"/>
  <c r="L408"/>
  <c r="L404"/>
  <c r="L400"/>
  <c r="L396"/>
  <c r="L392"/>
  <c r="L388"/>
  <c r="L384"/>
  <c r="L380"/>
  <c r="L376"/>
  <c r="L372"/>
  <c r="L368"/>
  <c r="L364"/>
  <c r="L360"/>
  <c r="L356"/>
  <c r="L352"/>
  <c r="L348"/>
  <c r="L344"/>
  <c r="L340"/>
  <c r="L336"/>
  <c r="L332"/>
  <c r="L328"/>
  <c r="L324"/>
  <c r="L320"/>
  <c r="L316"/>
  <c r="L312"/>
  <c r="L308"/>
  <c r="L304"/>
  <c r="L300"/>
  <c r="L296"/>
  <c r="L292"/>
  <c r="L288"/>
  <c r="L284"/>
  <c r="L280"/>
  <c r="L276"/>
  <c r="L272"/>
  <c r="L268"/>
  <c r="L264"/>
  <c r="L260"/>
  <c r="L256"/>
  <c r="L252"/>
  <c r="L248"/>
  <c r="L244"/>
  <c r="L240"/>
  <c r="L236"/>
  <c r="L232"/>
  <c r="L228"/>
  <c r="L224"/>
  <c r="L220"/>
  <c r="L216"/>
  <c r="L212"/>
  <c r="L208"/>
  <c r="L204"/>
  <c r="L200"/>
  <c r="L196"/>
  <c r="L192"/>
  <c r="L188"/>
  <c r="L184"/>
  <c r="L180"/>
  <c r="L176"/>
  <c r="L172"/>
  <c r="L168"/>
  <c r="L164"/>
  <c r="L160"/>
  <c r="L156"/>
  <c r="L152"/>
  <c r="L148"/>
  <c r="L144"/>
  <c r="L140"/>
  <c r="L136"/>
  <c r="L132"/>
  <c r="L128"/>
  <c r="L124"/>
  <c r="L120"/>
  <c r="L116"/>
  <c r="L112"/>
  <c r="L108"/>
  <c r="L104"/>
  <c r="L100"/>
  <c r="L95"/>
  <c r="L87"/>
  <c r="L79"/>
  <c r="L71"/>
  <c r="L63"/>
  <c r="L55"/>
  <c r="L94"/>
  <c r="L90"/>
  <c r="L86"/>
  <c r="L82"/>
  <c r="L78"/>
  <c r="L74"/>
  <c r="L70"/>
  <c r="L66"/>
  <c r="L62"/>
  <c r="L58"/>
  <c r="L54"/>
  <c r="L547"/>
  <c r="L539"/>
  <c r="L531"/>
  <c r="L523"/>
  <c r="L515"/>
  <c r="L507"/>
  <c r="L499"/>
  <c r="L491"/>
  <c r="L483"/>
  <c r="L475"/>
  <c r="L467"/>
  <c r="L459"/>
  <c r="L451"/>
  <c r="L443"/>
  <c r="L435"/>
  <c r="L427"/>
  <c r="L419"/>
  <c r="L411"/>
  <c r="L403"/>
  <c r="L395"/>
  <c r="L387"/>
  <c r="L379"/>
  <c r="L371"/>
  <c r="L363"/>
  <c r="L355"/>
  <c r="L347"/>
  <c r="L339"/>
  <c r="L331"/>
  <c r="L323"/>
  <c r="L315"/>
  <c r="L307"/>
  <c r="L299"/>
  <c r="L291"/>
  <c r="L283"/>
  <c r="L275"/>
  <c r="L267"/>
  <c r="L259"/>
  <c r="L251"/>
  <c r="L243"/>
  <c r="L235"/>
  <c r="L227"/>
  <c r="L219"/>
  <c r="L211"/>
  <c r="L203"/>
  <c r="L195"/>
  <c r="L187"/>
  <c r="L179"/>
  <c r="L171"/>
  <c r="L163"/>
  <c r="L553"/>
  <c r="L545"/>
  <c r="L537"/>
  <c r="L529"/>
  <c r="L521"/>
  <c r="L513"/>
  <c r="L505"/>
  <c r="L497"/>
  <c r="L489"/>
  <c r="L481"/>
  <c r="L473"/>
  <c r="L465"/>
  <c r="L457"/>
  <c r="L449"/>
  <c r="L441"/>
  <c r="L433"/>
  <c r="L425"/>
  <c r="L417"/>
  <c r="L409"/>
  <c r="L401"/>
  <c r="L393"/>
  <c r="L385"/>
  <c r="L377"/>
  <c r="L369"/>
  <c r="L361"/>
  <c r="L353"/>
  <c r="L345"/>
  <c r="L337"/>
  <c r="L329"/>
  <c r="L321"/>
  <c r="L313"/>
  <c r="L305"/>
  <c r="L297"/>
  <c r="L289"/>
  <c r="L281"/>
  <c r="L273"/>
  <c r="L265"/>
  <c r="L257"/>
  <c r="L249"/>
  <c r="L241"/>
  <c r="L233"/>
  <c r="L225"/>
  <c r="L217"/>
  <c r="L209"/>
  <c r="L201"/>
  <c r="L193"/>
  <c r="L185"/>
  <c r="L177"/>
  <c r="L169"/>
  <c r="L161"/>
  <c r="L155"/>
  <c r="L151"/>
  <c r="L147"/>
  <c r="L143"/>
  <c r="L139"/>
  <c r="L135"/>
  <c r="L131"/>
  <c r="L127"/>
  <c r="L123"/>
  <c r="L119"/>
  <c r="L115"/>
  <c r="L111"/>
  <c r="L107"/>
  <c r="L103"/>
  <c r="L99"/>
  <c r="L93"/>
  <c r="L85"/>
  <c r="L77"/>
  <c r="L69"/>
  <c r="L61"/>
  <c r="L53"/>
  <c r="L550"/>
  <c r="L546"/>
  <c r="L542"/>
  <c r="L538"/>
  <c r="L534"/>
  <c r="L530"/>
  <c r="L526"/>
  <c r="L522"/>
  <c r="L518"/>
  <c r="L514"/>
  <c r="L510"/>
  <c r="L506"/>
  <c r="L502"/>
  <c r="L498"/>
  <c r="L494"/>
  <c r="L490"/>
  <c r="L486"/>
  <c r="L482"/>
  <c r="L478"/>
  <c r="L474"/>
  <c r="L470"/>
  <c r="L466"/>
  <c r="L462"/>
  <c r="L458"/>
  <c r="L454"/>
  <c r="L450"/>
  <c r="L446"/>
  <c r="L442"/>
  <c r="L438"/>
  <c r="L434"/>
  <c r="L430"/>
  <c r="L426"/>
  <c r="L422"/>
  <c r="L418"/>
  <c r="L414"/>
  <c r="L410"/>
  <c r="L406"/>
  <c r="L402"/>
  <c r="L398"/>
  <c r="L394"/>
  <c r="L390"/>
  <c r="L386"/>
  <c r="L382"/>
  <c r="L378"/>
  <c r="L374"/>
  <c r="L370"/>
  <c r="L366"/>
  <c r="L362"/>
  <c r="L358"/>
  <c r="L354"/>
  <c r="L350"/>
  <c r="L346"/>
  <c r="L342"/>
  <c r="L338"/>
  <c r="L334"/>
  <c r="L330"/>
  <c r="L326"/>
  <c r="L322"/>
  <c r="L318"/>
  <c r="L314"/>
  <c r="L310"/>
  <c r="L306"/>
  <c r="L302"/>
  <c r="L298"/>
  <c r="L294"/>
  <c r="L290"/>
  <c r="L286"/>
  <c r="L282"/>
  <c r="L278"/>
  <c r="L274"/>
  <c r="L270"/>
  <c r="L266"/>
  <c r="L262"/>
  <c r="L258"/>
  <c r="L254"/>
  <c r="L250"/>
  <c r="L246"/>
  <c r="L242"/>
  <c r="L238"/>
  <c r="L234"/>
  <c r="L230"/>
  <c r="L226"/>
  <c r="L222"/>
  <c r="L218"/>
  <c r="L214"/>
  <c r="L210"/>
  <c r="L206"/>
  <c r="L202"/>
  <c r="L198"/>
  <c r="L194"/>
  <c r="L190"/>
  <c r="L186"/>
  <c r="L182"/>
  <c r="L178"/>
  <c r="L174"/>
  <c r="L170"/>
  <c r="L166"/>
  <c r="L162"/>
  <c r="L158"/>
  <c r="L154"/>
  <c r="L150"/>
  <c r="L146"/>
  <c r="L142"/>
  <c r="L138"/>
  <c r="L134"/>
  <c r="L130"/>
  <c r="L126"/>
  <c r="L122"/>
  <c r="L118"/>
  <c r="L114"/>
  <c r="L110"/>
  <c r="L106"/>
  <c r="L102"/>
  <c r="L98"/>
  <c r="L91"/>
  <c r="L83"/>
  <c r="L75"/>
  <c r="L67"/>
  <c r="L59"/>
  <c r="L96"/>
  <c r="L92"/>
  <c r="L88"/>
  <c r="L84"/>
  <c r="L80"/>
  <c r="L76"/>
  <c r="L72"/>
  <c r="L68"/>
  <c r="L64"/>
  <c r="L60"/>
  <c r="L56"/>
  <c r="G19"/>
  <c r="G21" s="1"/>
  <c r="G22" s="1"/>
  <c r="G23" s="1"/>
  <c r="G24" s="1"/>
  <c r="I19"/>
  <c r="I21" s="1"/>
  <c r="I22" s="1"/>
  <c r="I23" s="1"/>
  <c r="I24" s="1"/>
  <c r="H19"/>
  <c r="H21" s="1"/>
  <c r="F19"/>
  <c r="F21" s="1"/>
  <c r="E19"/>
  <c r="E21" s="1"/>
  <c r="L554" l="1"/>
  <c r="L555"/>
  <c r="I35"/>
  <c r="I37" s="1"/>
  <c r="G35"/>
  <c r="G37" s="1"/>
  <c r="E22"/>
  <c r="E23" s="1"/>
  <c r="H22"/>
  <c r="H23" s="1"/>
  <c r="H24" s="1"/>
  <c r="F22"/>
  <c r="F23" s="1"/>
  <c r="F24" s="1"/>
  <c r="L556" l="1"/>
  <c r="F35"/>
  <c r="F37" s="1"/>
  <c r="E24"/>
  <c r="E35" s="1"/>
  <c r="E37" s="1"/>
  <c r="E38" s="1"/>
  <c r="H35"/>
  <c r="H37" s="1"/>
  <c r="F38" l="1"/>
  <c r="G38" s="1"/>
  <c r="H38" s="1"/>
  <c r="I38" s="1"/>
  <c r="I40" s="1"/>
</calcChain>
</file>

<file path=xl/sharedStrings.xml><?xml version="1.0" encoding="utf-8"?>
<sst xmlns="http://schemas.openxmlformats.org/spreadsheetml/2006/main" count="293" uniqueCount="88">
  <si>
    <t>Наименование показателя</t>
  </si>
  <si>
    <t>1. Первоначальные инвестиции</t>
  </si>
  <si>
    <t>Закупка оборудования</t>
  </si>
  <si>
    <t>Доставка и монтаж</t>
  </si>
  <si>
    <t>Итого инвестиции в основной капитал (NAF)</t>
  </si>
  <si>
    <t>Потребность в оборотном капитале (WCR)</t>
  </si>
  <si>
    <r>
      <t>Всего первоначальные инвестиции (IC</t>
    </r>
    <r>
      <rPr>
        <vertAlign val="subscript"/>
        <sz val="12"/>
        <color rgb="FF000000"/>
        <rFont val="Times New Roman"/>
        <family val="1"/>
        <charset val="204"/>
      </rPr>
      <t>0</t>
    </r>
    <r>
      <rPr>
        <sz val="12"/>
        <color rgb="FF000000"/>
        <rFont val="Times New Roman"/>
        <family val="1"/>
        <charset val="204"/>
      </rPr>
      <t>)</t>
    </r>
  </si>
  <si>
    <t>2.Денежный поток от операций</t>
  </si>
  <si>
    <t>Объем продаж</t>
  </si>
  <si>
    <t>Цена за ед. (Р)</t>
  </si>
  <si>
    <t>Выручка (Sal)</t>
  </si>
  <si>
    <t>Переменные затраты (VC)</t>
  </si>
  <si>
    <t>Постоянные затраты (FC)</t>
  </si>
  <si>
    <t>EBITDA</t>
  </si>
  <si>
    <t>Амортизация (DA)</t>
  </si>
  <si>
    <t>EBIT</t>
  </si>
  <si>
    <t>Налог на прибыль (20%)</t>
  </si>
  <si>
    <t>NOPAT</t>
  </si>
  <si>
    <t>Денежный поток от операций (OCF)</t>
  </si>
  <si>
    <t>3.Инвестиции в оборотный капитал</t>
  </si>
  <si>
    <t>Изменения в оборотном капитале (∆WCR)</t>
  </si>
  <si>
    <t>4.Инвестиции в основной капитал</t>
  </si>
  <si>
    <t>Изменения в основном капитале (∆NFA)</t>
  </si>
  <si>
    <t>5.Остаточная (терминальная) стоимость</t>
  </si>
  <si>
    <t>Реализация оборудования</t>
  </si>
  <si>
    <t>Возврат оборотного капитала</t>
  </si>
  <si>
    <t>Терминальная стоимость (TV)</t>
  </si>
  <si>
    <t>6.Свободный денежный поток</t>
  </si>
  <si>
    <t>Свободный денежный поток (FCF)</t>
  </si>
  <si>
    <t>Дисконтированный свободный денежный поток (DFCF)</t>
  </si>
  <si>
    <t>DFCF нарастающим итогом (ADFCF)</t>
  </si>
  <si>
    <t>7.Расчет критериев эффективности</t>
  </si>
  <si>
    <t>NPV</t>
  </si>
  <si>
    <t>IRR</t>
  </si>
  <si>
    <t>17,65%</t>
  </si>
  <si>
    <t>MIRR</t>
  </si>
  <si>
    <t>14,88%</t>
  </si>
  <si>
    <t>PI</t>
  </si>
  <si>
    <t>1,11</t>
  </si>
  <si>
    <t>множитель дисконтирования</t>
  </si>
  <si>
    <t>Анализ чувствительности</t>
  </si>
  <si>
    <t>Сценарный анализ</t>
  </si>
  <si>
    <t>Первоначальные инвестиции</t>
  </si>
  <si>
    <t xml:space="preserve">Цена </t>
  </si>
  <si>
    <t>Переменные затраты на единицу</t>
  </si>
  <si>
    <t>Изменение объема продаж (изменение в процентах для каждого периода на одинаковое количество процентов)</t>
  </si>
  <si>
    <t>Ставка дисконтирования</t>
  </si>
  <si>
    <t xml:space="preserve">Множитель дисконтирования </t>
  </si>
  <si>
    <t>Математичесоке ожидание NPV</t>
  </si>
  <si>
    <t>Вероятность сценария</t>
  </si>
  <si>
    <t>Среднее квадратическое отклонение</t>
  </si>
  <si>
    <t>E(NPV)</t>
  </si>
  <si>
    <t>Вариация σ / E(NPV)</t>
  </si>
  <si>
    <t>P (NPV&lt;=0)</t>
  </si>
  <si>
    <t>P (NPV&lt;=E(NPV))</t>
  </si>
  <si>
    <t>P (NPV&lt;=E(NPV) -   )</t>
  </si>
  <si>
    <t>Проанализируйте чувствительность основных критериев эффективности (NPV, IRR) к изменению ключевых параметров проекта.</t>
  </si>
  <si>
    <t>сценарий 1</t>
  </si>
  <si>
    <t>сценарий 2</t>
  </si>
  <si>
    <t>сценарий 3</t>
  </si>
  <si>
    <t>сценарий 4</t>
  </si>
  <si>
    <t>сценарий 5</t>
  </si>
  <si>
    <r>
      <rPr>
        <b/>
        <sz val="12"/>
        <color theme="1"/>
        <rFont val="Times New Roman"/>
        <family val="1"/>
        <charset val="204"/>
      </rPr>
      <t>Задание.</t>
    </r>
    <r>
      <rPr>
        <sz val="12"/>
        <color theme="1"/>
        <rFont val="Times New Roman"/>
        <family val="1"/>
        <charset val="204"/>
      </rPr>
      <t xml:space="preserve"> Проанализируйте риск инвестиционного проекта, исходные данные по которому представлены в таблице ниже. Анализ рисков необходимо провести следующими способами:                                                                                                  1.Сделать расчет для различных ставок дисконтирования (см. лист 2).                                                     2.Провести анализ чувствительности (для указанных факторов, лист 3).                                                                       3.Провести сценарный анализ   (параметры сценариев указаны, лист 4).                                                              4.Имитационное моделирование рисков проекта (лист 5)</t>
    </r>
  </si>
  <si>
    <t>Математическое ожидание NPV проекта</t>
  </si>
  <si>
    <t>Среднеквадратическое отклонение NPV проекта</t>
  </si>
  <si>
    <t>Вопросы</t>
  </si>
  <si>
    <t>1.Какова вероятность, что NPV проекта будет меньше математического ожидания?</t>
  </si>
  <si>
    <t>Для ответа на вопросы воспользуйтесь функцией НОРМРАСП(  х  ;  математическое ожидание  ; среднеквадратическое отклонение   ;1)</t>
  </si>
  <si>
    <t>Денежный поток проекта (формулы в ячейки введены)</t>
  </si>
  <si>
    <t>NPV (формула введена)</t>
  </si>
  <si>
    <t xml:space="preserve">Изучите риск проекта на основе имитационного моделирования. Существует неопределенность в значениях таких факторов проекта, как ставка дисконтирования, цена, первоначальные инвестиции, переменные затраты на единицу. Диапазон изменения данных факторов указан в строках 47 - 50, предполагается равномерное распределение для данных факторов (случайных величин). Вам необходимо оценить риск проекта на основе моделирования возможных исходов NPV проекта. Введите в ячейки В 53 - В 554 случайные величины ставки дисконтирования, используя функцию "Генерация случайных величин". Выберите "Данные", "Анализ данных", "Генерация случайных величин", число переменных - 1, число случайных величин - 500, параметры - диапазон изменения для каждого параметра указан в строках 47-50, случайное рассеивание - ничего вводить не надо, данные выведите в столбец В 53 - В 554. Аналогично повторите для оставшихся случайных величин. В столбце L у вас должна автоматически рассчитаться величина  NPV. Проведите анализ полученных случайных значений  NPV. Определите вероятность, что  NPV  будет меньше нуля. </t>
  </si>
  <si>
    <t>2. Выделяем весь массив данных (ячейки С7:I8), в верхней строке Меню выбираем "Данные", затем "Анализ что-если", "Таблица данных".</t>
  </si>
  <si>
    <t>1. Введите в ячейку С7 ссылку на формулу, в которой произведён расчет NPV (U41). Выберите интервал значений для ставки дисконтирования. По умолчанию задан интервал с шагом 2% от 10% до 20%. По вертикали укажем формальный параметр, который не будет изменяться. Например, первоначальные инвестиции. И первоначальные инвестиции укажем равные 55000 (данная величина указана для базового сценария).</t>
  </si>
  <si>
    <t>3. В открывшемся окне "подставлять значения по столбцам" указываем ссылку на ячейку L 37, по строкам L 38.</t>
  </si>
  <si>
    <t>4. Меняем цвет шрифта в ячейках C7 и С8  на белый.</t>
  </si>
  <si>
    <t>1. Введите в ячейку С10 ссылку на формулу, в которой произведён расчет NPV (V46). Выберите интервал значений для первоначальных инвестиций. По умолчанию задан интервал от 53000 до 57000. По вертикали укажем формальный параметр, который не будет изменяться. Например, ставка дисконтирования. И ставку дисконтирования укажем равную 14% (данная величина указана для базового сценария).</t>
  </si>
  <si>
    <t>2. Выделяем весь массив данных (ячейки С10:H11), в верхней строке Меню выбираем "Данные", затем "Анализ что-если", "Таблица данных".</t>
  </si>
  <si>
    <t>3. В открывшемся окне "подставлять значения по столбцам" указываем ссылку на ячейку M 43, по строкам M42.</t>
  </si>
  <si>
    <t>4. Меняем цвет шрифта в ячейках C10 и С11  на белый.</t>
  </si>
  <si>
    <t xml:space="preserve">Для изучения чувствительности результатов проекта проведите расчет NPV и IRR проекта для различных объемов реализации продукции и величины первоначальных затрат.                                                                                                    </t>
  </si>
  <si>
    <t xml:space="preserve">Для изучения устойчивости результатов проекта проведите расчет NPV проекта для различных ставок дисконтирования. </t>
  </si>
  <si>
    <t>2.Какова вероятность, что NPV проекта будет меньше 0?</t>
  </si>
  <si>
    <t>Для каждого сценария указана исходная совокупность параметров. В отличие от анализа чувствительности вы проводите изменение сразу всех ключевых параметров, рассчитываете  NPV, PI, IRR и срок окупаемости. Определите математическое ожидание NPV проекта (сумма произведений вероятности проекта и соответствующей величины NPV). Ответьте на вопросы.</t>
  </si>
  <si>
    <t>1. Выберите "Данные", "Анализ что-если", "Диспетчер сценариев".</t>
  </si>
  <si>
    <t>2. Добавьте сценарий. В открывшемся окне напишите "Сценарий 5". Изменяемые ячейки: К36 - К40. Введите данные по 5-ому сценарию в открывшемся окне.</t>
  </si>
  <si>
    <t>3. Все пять сценариев сформированы, выбираем "отчет", "структура". На отдельном листе выводятся все данные по 5 сценариям. Вы можете увидеть NPV, IRR, PI. MIRR не была рассчитана.</t>
  </si>
  <si>
    <t>4. Анализируем риски проекта на основе оценки разброса значений NPV( волатильности). Опредляем математическое ожидание по проекту. Предварительно копируем из листа "Структура сценария" значения  NPV проекта. Для оценки математического ожидания применяем формулу суммапроизв.</t>
  </si>
  <si>
    <t>Скопируйте в строку ниже значения NPV проекта из листа "Структура сценария".</t>
  </si>
</sst>
</file>

<file path=xl/styles.xml><?xml version="1.0" encoding="utf-8"?>
<styleSheet xmlns="http://schemas.openxmlformats.org/spreadsheetml/2006/main">
  <fonts count="12">
    <font>
      <sz val="11"/>
      <color theme="1"/>
      <name val="Calibri"/>
      <family val="2"/>
      <charset val="204"/>
      <scheme val="minor"/>
    </font>
    <font>
      <sz val="12"/>
      <color rgb="FF000000"/>
      <name val="Times New Roman"/>
      <family val="1"/>
      <charset val="204"/>
    </font>
    <font>
      <vertAlign val="subscript"/>
      <sz val="12"/>
      <color rgb="FF000000"/>
      <name val="Times New Roman"/>
      <family val="1"/>
      <charset val="204"/>
    </font>
    <font>
      <sz val="10"/>
      <color rgb="FF000000"/>
      <name val="Times New Roman"/>
      <family val="1"/>
      <charset val="204"/>
    </font>
    <font>
      <sz val="12"/>
      <color theme="1"/>
      <name val="Times New Roman"/>
      <family val="1"/>
      <charset val="204"/>
    </font>
    <font>
      <b/>
      <sz val="12"/>
      <color theme="1"/>
      <name val="Times New Roman"/>
      <family val="1"/>
      <charset val="204"/>
    </font>
    <font>
      <b/>
      <sz val="11"/>
      <color theme="0"/>
      <name val="Calibri"/>
      <family val="2"/>
      <charset val="204"/>
      <scheme val="minor"/>
    </font>
    <font>
      <sz val="11"/>
      <color theme="0"/>
      <name val="Calibri"/>
      <family val="2"/>
      <charset val="204"/>
      <scheme val="minor"/>
    </font>
    <font>
      <sz val="12"/>
      <color theme="0"/>
      <name val="Times New Roman"/>
      <family val="1"/>
      <charset val="204"/>
    </font>
    <font>
      <sz val="11"/>
      <name val="Calibri"/>
      <family val="2"/>
      <charset val="204"/>
      <scheme val="minor"/>
    </font>
    <font>
      <sz val="11"/>
      <color theme="1"/>
      <name val="Times New Roman"/>
      <family val="1"/>
      <charset val="204"/>
    </font>
    <font>
      <sz val="11"/>
      <color theme="8" tint="0.79998168889431442"/>
      <name val="Calibri"/>
      <family val="2"/>
      <charset val="204"/>
      <scheme val="minor"/>
    </font>
  </fonts>
  <fills count="13">
    <fill>
      <patternFill patternType="none"/>
    </fill>
    <fill>
      <patternFill patternType="gray125"/>
    </fill>
    <fill>
      <patternFill patternType="solid">
        <fgColor rgb="FFD8D8D8"/>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rgb="FFE6F8BE"/>
        <bgColor indexed="64"/>
      </patternFill>
    </fill>
    <fill>
      <patternFill patternType="solid">
        <fgColor rgb="FF92D050"/>
        <bgColor auto="1"/>
      </patternFill>
    </fill>
    <fill>
      <patternFill patternType="solid">
        <fgColor rgb="FFD6F5C1"/>
        <bgColor indexed="64"/>
      </patternFill>
    </fill>
    <fill>
      <patternFill patternType="solid">
        <fgColor rgb="FF7030A0"/>
        <bgColor indexed="64"/>
      </patternFill>
    </fill>
    <fill>
      <patternFill patternType="solid">
        <fgColor rgb="FF0070C0"/>
        <bgColor indexed="64"/>
      </patternFill>
    </fill>
    <fill>
      <patternFill patternType="solid">
        <fgColor theme="6" tint="0.7999816888943144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rgb="FF000000"/>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auto="1"/>
      </left>
      <right/>
      <top/>
      <bottom/>
      <diagonal/>
    </border>
    <border>
      <left/>
      <right style="thin">
        <color auto="1"/>
      </right>
      <top/>
      <bottom/>
      <diagonal/>
    </border>
  </borders>
  <cellStyleXfs count="1">
    <xf numFmtId="0" fontId="0" fillId="0" borderId="0"/>
  </cellStyleXfs>
  <cellXfs count="91">
    <xf numFmtId="0" fontId="0" fillId="0" borderId="0" xfId="0"/>
    <xf numFmtId="0" fontId="1" fillId="0" borderId="1" xfId="0" applyFont="1" applyBorder="1"/>
    <xf numFmtId="0" fontId="1" fillId="0" borderId="2" xfId="0" applyFont="1" applyBorder="1" applyAlignment="1">
      <alignment horizontal="center"/>
    </xf>
    <xf numFmtId="0" fontId="1" fillId="0" borderId="4" xfId="0" applyFont="1" applyBorder="1"/>
    <xf numFmtId="0" fontId="1" fillId="0" borderId="5" xfId="0" applyFont="1" applyBorder="1"/>
    <xf numFmtId="0" fontId="1" fillId="0" borderId="4" xfId="0" applyFont="1" applyBorder="1" applyAlignment="1">
      <alignment wrapText="1"/>
    </xf>
    <xf numFmtId="0" fontId="1" fillId="0" borderId="4" xfId="0" applyFont="1" applyBorder="1" applyAlignment="1">
      <alignment horizontal="right"/>
    </xf>
    <xf numFmtId="0" fontId="1" fillId="0" borderId="5" xfId="0" applyFont="1" applyBorder="1" applyAlignment="1">
      <alignment horizontal="right"/>
    </xf>
    <xf numFmtId="0" fontId="0" fillId="0" borderId="0" xfId="0" applyAlignment="1">
      <alignment wrapText="1"/>
    </xf>
    <xf numFmtId="0" fontId="1" fillId="2" borderId="5" xfId="0" applyFont="1" applyFill="1" applyBorder="1"/>
    <xf numFmtId="0" fontId="3" fillId="0" borderId="5" xfId="0" applyFont="1" applyBorder="1" applyAlignment="1">
      <alignment horizontal="right"/>
    </xf>
    <xf numFmtId="9" fontId="0" fillId="0" borderId="0" xfId="0" applyNumberFormat="1"/>
    <xf numFmtId="1" fontId="0" fillId="0" borderId="0" xfId="0" applyNumberFormat="1"/>
    <xf numFmtId="0" fontId="4" fillId="0" borderId="1" xfId="0" applyFont="1" applyBorder="1" applyAlignment="1">
      <alignment horizontal="center"/>
    </xf>
    <xf numFmtId="0" fontId="1" fillId="0" borderId="6" xfId="0" applyFont="1" applyBorder="1" applyAlignment="1">
      <alignment wrapText="1"/>
    </xf>
    <xf numFmtId="0" fontId="0" fillId="3" borderId="8" xfId="0" applyFill="1" applyBorder="1"/>
    <xf numFmtId="0" fontId="4" fillId="0" borderId="8" xfId="0" applyFont="1" applyBorder="1"/>
    <xf numFmtId="9" fontId="4" fillId="0" borderId="8" xfId="0" applyNumberFormat="1" applyFont="1" applyBorder="1"/>
    <xf numFmtId="0" fontId="4" fillId="3" borderId="8" xfId="0" applyFont="1" applyFill="1" applyBorder="1"/>
    <xf numFmtId="0" fontId="4" fillId="0" borderId="0" xfId="0" applyFont="1"/>
    <xf numFmtId="0" fontId="4" fillId="0" borderId="8" xfId="0" applyFont="1" applyBorder="1" applyAlignment="1">
      <alignment wrapText="1"/>
    </xf>
    <xf numFmtId="0" fontId="1" fillId="5" borderId="5" xfId="0" applyFont="1" applyFill="1" applyBorder="1" applyAlignment="1">
      <alignment horizontal="right"/>
    </xf>
    <xf numFmtId="0" fontId="1" fillId="5" borderId="1" xfId="0" applyFont="1" applyFill="1" applyBorder="1"/>
    <xf numFmtId="0" fontId="8" fillId="6" borderId="1" xfId="0" applyFont="1" applyFill="1" applyBorder="1"/>
    <xf numFmtId="0" fontId="8" fillId="6" borderId="2" xfId="0" applyFont="1" applyFill="1" applyBorder="1" applyAlignment="1">
      <alignment horizontal="center"/>
    </xf>
    <xf numFmtId="0" fontId="1" fillId="5" borderId="4" xfId="0" applyFont="1" applyFill="1" applyBorder="1"/>
    <xf numFmtId="0" fontId="1" fillId="5" borderId="5" xfId="0" applyFont="1" applyFill="1" applyBorder="1"/>
    <xf numFmtId="0" fontId="1" fillId="5" borderId="4" xfId="0" applyFont="1" applyFill="1" applyBorder="1" applyAlignment="1">
      <alignment wrapText="1"/>
    </xf>
    <xf numFmtId="0" fontId="1" fillId="7" borderId="4" xfId="0" applyFont="1" applyFill="1" applyBorder="1"/>
    <xf numFmtId="0" fontId="1" fillId="7" borderId="5" xfId="0" applyFont="1" applyFill="1" applyBorder="1"/>
    <xf numFmtId="0" fontId="1" fillId="7" borderId="4" xfId="0" applyFont="1" applyFill="1" applyBorder="1" applyAlignment="1">
      <alignment wrapText="1"/>
    </xf>
    <xf numFmtId="0" fontId="1" fillId="7" borderId="1" xfId="0" applyFont="1" applyFill="1" applyBorder="1"/>
    <xf numFmtId="0" fontId="1" fillId="8" borderId="5" xfId="0" applyFont="1" applyFill="1" applyBorder="1"/>
    <xf numFmtId="0" fontId="1" fillId="0" borderId="6" xfId="0" applyFont="1" applyBorder="1" applyAlignment="1"/>
    <xf numFmtId="0" fontId="1" fillId="7" borderId="4" xfId="0" applyFont="1" applyFill="1" applyBorder="1" applyAlignment="1">
      <alignment horizontal="right"/>
    </xf>
    <xf numFmtId="0" fontId="6" fillId="10" borderId="0" xfId="0" applyFont="1" applyFill="1"/>
    <xf numFmtId="0" fontId="1" fillId="7" borderId="5" xfId="0" applyFont="1" applyFill="1" applyBorder="1" applyAlignment="1">
      <alignment wrapText="1"/>
    </xf>
    <xf numFmtId="0" fontId="4" fillId="0" borderId="0" xfId="0" applyFont="1" applyBorder="1" applyAlignment="1">
      <alignment wrapText="1"/>
    </xf>
    <xf numFmtId="0" fontId="9" fillId="9" borderId="0" xfId="0" applyFont="1" applyFill="1" applyAlignment="1"/>
    <xf numFmtId="0" fontId="7" fillId="11" borderId="0" xfId="0" applyFont="1" applyFill="1" applyAlignment="1">
      <alignment wrapText="1"/>
    </xf>
    <xf numFmtId="0" fontId="7" fillId="11" borderId="0" xfId="0" applyFont="1" applyFill="1"/>
    <xf numFmtId="0" fontId="0" fillId="0" borderId="8" xfId="0" applyBorder="1" applyAlignment="1">
      <alignment wrapText="1"/>
    </xf>
    <xf numFmtId="0" fontId="0" fillId="0" borderId="8" xfId="0" applyBorder="1"/>
    <xf numFmtId="9" fontId="0" fillId="3" borderId="8" xfId="0" applyNumberFormat="1" applyFill="1" applyBorder="1"/>
    <xf numFmtId="0" fontId="1" fillId="7" borderId="12" xfId="0" applyFont="1" applyFill="1" applyBorder="1"/>
    <xf numFmtId="2" fontId="1" fillId="7" borderId="4" xfId="0" applyNumberFormat="1" applyFont="1" applyFill="1" applyBorder="1" applyAlignment="1">
      <alignment horizontal="right"/>
    </xf>
    <xf numFmtId="9" fontId="1" fillId="5" borderId="4" xfId="0" applyNumberFormat="1" applyFont="1" applyFill="1" applyBorder="1" applyAlignment="1">
      <alignment wrapText="1"/>
    </xf>
    <xf numFmtId="0" fontId="1" fillId="4" borderId="3" xfId="0" applyFont="1" applyFill="1" applyBorder="1" applyAlignment="1">
      <alignment horizontal="center"/>
    </xf>
    <xf numFmtId="0" fontId="8" fillId="6" borderId="2" xfId="0" applyFont="1" applyFill="1" applyBorder="1" applyAlignment="1">
      <alignment horizontal="center"/>
    </xf>
    <xf numFmtId="1" fontId="4" fillId="3" borderId="8" xfId="0" applyNumberFormat="1" applyFont="1" applyFill="1" applyBorder="1"/>
    <xf numFmtId="1" fontId="8" fillId="0" borderId="8" xfId="0" applyNumberFormat="1" applyFont="1" applyBorder="1"/>
    <xf numFmtId="0" fontId="8" fillId="0" borderId="8" xfId="0" applyFont="1" applyBorder="1"/>
    <xf numFmtId="9" fontId="4" fillId="3" borderId="8" xfId="0" applyNumberFormat="1" applyFont="1" applyFill="1" applyBorder="1"/>
    <xf numFmtId="0" fontId="1" fillId="4" borderId="14" xfId="0" applyFont="1" applyFill="1" applyBorder="1" applyAlignment="1">
      <alignment horizontal="center"/>
    </xf>
    <xf numFmtId="0" fontId="1" fillId="4" borderId="15" xfId="0" applyFont="1" applyFill="1" applyBorder="1" applyAlignment="1">
      <alignment horizontal="center"/>
    </xf>
    <xf numFmtId="0" fontId="1" fillId="4" borderId="5" xfId="0" applyFont="1" applyFill="1" applyBorder="1" applyAlignment="1">
      <alignment horizontal="center"/>
    </xf>
    <xf numFmtId="9" fontId="0" fillId="0" borderId="8" xfId="0" applyNumberFormat="1" applyBorder="1"/>
    <xf numFmtId="0" fontId="0" fillId="0" borderId="0" xfId="0" applyFill="1" applyBorder="1" applyAlignment="1"/>
    <xf numFmtId="9" fontId="0" fillId="0" borderId="0" xfId="0" applyNumberFormat="1" applyFill="1" applyBorder="1" applyAlignment="1"/>
    <xf numFmtId="0" fontId="11" fillId="12" borderId="0" xfId="0" applyFont="1" applyFill="1"/>
    <xf numFmtId="0" fontId="1" fillId="7" borderId="6" xfId="0" applyFont="1" applyFill="1" applyBorder="1" applyAlignment="1">
      <alignment horizontal="right"/>
    </xf>
    <xf numFmtId="0" fontId="1" fillId="7" borderId="2" xfId="0" applyFont="1" applyFill="1" applyBorder="1" applyAlignment="1">
      <alignment horizontal="right"/>
    </xf>
    <xf numFmtId="0" fontId="1" fillId="4" borderId="6" xfId="0" applyFont="1" applyFill="1" applyBorder="1" applyAlignment="1">
      <alignment horizontal="center"/>
    </xf>
    <xf numFmtId="0" fontId="1" fillId="4" borderId="3" xfId="0" applyFont="1" applyFill="1" applyBorder="1" applyAlignment="1">
      <alignment horizontal="center"/>
    </xf>
    <xf numFmtId="0" fontId="1" fillId="4" borderId="2" xfId="0" applyFont="1" applyFill="1" applyBorder="1" applyAlignment="1">
      <alignment horizontal="center"/>
    </xf>
    <xf numFmtId="0" fontId="1" fillId="5" borderId="6" xfId="0" applyFont="1" applyFill="1" applyBorder="1" applyAlignment="1">
      <alignment horizontal="right"/>
    </xf>
    <xf numFmtId="0" fontId="1" fillId="5" borderId="2" xfId="0" applyFont="1" applyFill="1" applyBorder="1" applyAlignment="1">
      <alignment horizontal="right"/>
    </xf>
    <xf numFmtId="0" fontId="0" fillId="0" borderId="0" xfId="0" applyAlignment="1">
      <alignment horizontal="center"/>
    </xf>
    <xf numFmtId="0" fontId="1" fillId="4" borderId="7" xfId="0" applyFont="1" applyFill="1" applyBorder="1" applyAlignment="1">
      <alignment horizontal="center"/>
    </xf>
    <xf numFmtId="0" fontId="4" fillId="3" borderId="0" xfId="0" applyFont="1" applyFill="1" applyAlignment="1">
      <alignment horizontal="center" wrapText="1"/>
    </xf>
    <xf numFmtId="0" fontId="8" fillId="6" borderId="6" xfId="0" applyFont="1" applyFill="1" applyBorder="1" applyAlignment="1">
      <alignment horizontal="center"/>
    </xf>
    <xf numFmtId="0" fontId="8" fillId="6" borderId="2" xfId="0" applyFont="1" applyFill="1" applyBorder="1" applyAlignment="1">
      <alignment horizontal="center"/>
    </xf>
    <xf numFmtId="0" fontId="10" fillId="12" borderId="0" xfId="0" applyFont="1" applyFill="1" applyAlignment="1">
      <alignment horizontal="center" wrapText="1"/>
    </xf>
    <xf numFmtId="0" fontId="4" fillId="0" borderId="0" xfId="0" applyFont="1" applyAlignment="1">
      <alignment horizontal="center" wrapText="1"/>
    </xf>
    <xf numFmtId="0" fontId="10" fillId="12" borderId="13" xfId="0" applyFont="1" applyFill="1" applyBorder="1" applyAlignment="1">
      <alignment horizontal="center" wrapText="1"/>
    </xf>
    <xf numFmtId="0" fontId="0" fillId="0" borderId="17" xfId="0" applyBorder="1" applyAlignment="1">
      <alignment horizontal="center"/>
    </xf>
    <xf numFmtId="0" fontId="10" fillId="12" borderId="16" xfId="0" applyFont="1" applyFill="1" applyBorder="1" applyAlignment="1">
      <alignment horizontal="center" wrapText="1"/>
    </xf>
    <xf numFmtId="0" fontId="10" fillId="12" borderId="0" xfId="0" applyFont="1" applyFill="1" applyBorder="1" applyAlignment="1">
      <alignment horizontal="center" wrapText="1"/>
    </xf>
    <xf numFmtId="0" fontId="0" fillId="3" borderId="9"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1" fillId="5" borderId="6" xfId="0" applyFont="1" applyFill="1" applyBorder="1" applyAlignment="1">
      <alignment horizontal="center"/>
    </xf>
    <xf numFmtId="0" fontId="1" fillId="5" borderId="2" xfId="0" applyFont="1" applyFill="1" applyBorder="1" applyAlignment="1">
      <alignment horizontal="center"/>
    </xf>
    <xf numFmtId="0" fontId="0" fillId="0" borderId="0" xfId="0" applyAlignment="1">
      <alignment horizontal="center" wrapText="1"/>
    </xf>
    <xf numFmtId="0" fontId="6" fillId="10" borderId="0" xfId="0" applyFont="1" applyFill="1" applyAlignment="1">
      <alignment horizontal="center"/>
    </xf>
    <xf numFmtId="0" fontId="1" fillId="0" borderId="6" xfId="0" applyFont="1" applyBorder="1" applyAlignment="1">
      <alignment horizontal="right"/>
    </xf>
    <xf numFmtId="0" fontId="1" fillId="0" borderId="2" xfId="0" applyFont="1" applyBorder="1" applyAlignment="1">
      <alignment horizontal="right"/>
    </xf>
    <xf numFmtId="0" fontId="1" fillId="0" borderId="6" xfId="0" applyFont="1" applyBorder="1" applyAlignment="1">
      <alignment horizontal="center"/>
    </xf>
    <xf numFmtId="0" fontId="1" fillId="0" borderId="3" xfId="0" applyFont="1" applyBorder="1" applyAlignment="1">
      <alignment horizontal="center"/>
    </xf>
    <xf numFmtId="0" fontId="1" fillId="0" borderId="7" xfId="0" applyFont="1" applyBorder="1" applyAlignment="1">
      <alignment horizontal="center"/>
    </xf>
    <xf numFmtId="0" fontId="1" fillId="0" borderId="2" xfId="0" applyFont="1" applyBorder="1" applyAlignment="1">
      <alignment horizontal="center"/>
    </xf>
  </cellXfs>
  <cellStyles count="1">
    <cellStyle name="Обычный" xfId="0" builtinId="0"/>
  </cellStyles>
  <dxfs count="0"/>
  <tableStyles count="0" defaultTableStyle="TableStyleMedium9" defaultPivotStyle="PivotStyleLight16"/>
  <colors>
    <mruColors>
      <color rgb="FFD6F5C1"/>
      <color rgb="FFE6F8BE"/>
    </mru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a:t>
            </a:r>
            <a:r>
              <a:rPr lang="en-US"/>
              <a:t>NPV </a:t>
            </a:r>
            <a:r>
              <a:rPr lang="ru-RU"/>
              <a:t>при разных ставках дисконтирования</a:t>
            </a:r>
          </a:p>
        </c:rich>
      </c:tx>
    </c:title>
    <c:plotArea>
      <c:layout/>
      <c:lineChart>
        <c:grouping val="standard"/>
        <c:ser>
          <c:idx val="0"/>
          <c:order val="0"/>
          <c:tx>
            <c:v>Динамика NPV от ставки дисконтирования</c:v>
          </c:tx>
          <c:cat>
            <c:numRef>
              <c:f>'1.Исходные данные'!$E$46:$J$46</c:f>
              <c:numCache>
                <c:formatCode>0%</c:formatCode>
                <c:ptCount val="6"/>
                <c:pt idx="0">
                  <c:v>0.1</c:v>
                </c:pt>
                <c:pt idx="1">
                  <c:v>0.12</c:v>
                </c:pt>
                <c:pt idx="2">
                  <c:v>0.14000000000000001</c:v>
                </c:pt>
                <c:pt idx="3">
                  <c:v>0.16</c:v>
                </c:pt>
                <c:pt idx="4">
                  <c:v>0.18</c:v>
                </c:pt>
                <c:pt idx="5">
                  <c:v>0.2</c:v>
                </c:pt>
              </c:numCache>
            </c:numRef>
          </c:cat>
          <c:val>
            <c:numRef>
              <c:f>'1.Исходные данные'!$E$47:$J$47</c:f>
              <c:numCache>
                <c:formatCode>General</c:formatCode>
                <c:ptCount val="6"/>
                <c:pt idx="0">
                  <c:v>13337.84</c:v>
                </c:pt>
                <c:pt idx="1">
                  <c:v>9425.35</c:v>
                </c:pt>
                <c:pt idx="2">
                  <c:v>5833</c:v>
                </c:pt>
                <c:pt idx="3">
                  <c:v>2528.3200000000002</c:v>
                </c:pt>
                <c:pt idx="4">
                  <c:v>-517.4</c:v>
                </c:pt>
                <c:pt idx="5">
                  <c:v>-3329.4</c:v>
                </c:pt>
              </c:numCache>
            </c:numRef>
          </c:val>
        </c:ser>
        <c:marker val="1"/>
        <c:axId val="106121856"/>
        <c:axId val="106144128"/>
      </c:lineChart>
      <c:catAx>
        <c:axId val="106121856"/>
        <c:scaling>
          <c:orientation val="minMax"/>
        </c:scaling>
        <c:axPos val="b"/>
        <c:numFmt formatCode="0%" sourceLinked="1"/>
        <c:tickLblPos val="nextTo"/>
        <c:crossAx val="106144128"/>
        <c:crosses val="autoZero"/>
        <c:auto val="1"/>
        <c:lblAlgn val="ctr"/>
        <c:lblOffset val="100"/>
      </c:catAx>
      <c:valAx>
        <c:axId val="106144128"/>
        <c:scaling>
          <c:orientation val="minMax"/>
        </c:scaling>
        <c:axPos val="l"/>
        <c:majorGridlines/>
        <c:numFmt formatCode="General" sourceLinked="1"/>
        <c:tickLblPos val="nextTo"/>
        <c:crossAx val="106121856"/>
        <c:crosses val="autoZero"/>
        <c:crossBetween val="midCat"/>
      </c:valAx>
    </c:plotArea>
    <c:legend>
      <c:legendPos val="r"/>
    </c:legend>
    <c:plotVisOnly val="1"/>
  </c:chart>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a:t>Динамика </a:t>
            </a:r>
            <a:r>
              <a:rPr lang="en-US"/>
              <a:t>NPV </a:t>
            </a:r>
            <a:r>
              <a:rPr lang="ru-RU"/>
              <a:t>при разных ставках дисконтирования</a:t>
            </a:r>
          </a:p>
        </c:rich>
      </c:tx>
    </c:title>
    <c:plotArea>
      <c:layout/>
      <c:lineChart>
        <c:grouping val="standard"/>
        <c:ser>
          <c:idx val="0"/>
          <c:order val="0"/>
          <c:tx>
            <c:v>Динамика NPV от ставки дисконтирования</c:v>
          </c:tx>
          <c:cat>
            <c:numRef>
              <c:f>'1.Исходные данные'!$E$46:$J$46</c:f>
              <c:numCache>
                <c:formatCode>0%</c:formatCode>
                <c:ptCount val="6"/>
                <c:pt idx="0">
                  <c:v>0.1</c:v>
                </c:pt>
                <c:pt idx="1">
                  <c:v>0.12</c:v>
                </c:pt>
                <c:pt idx="2">
                  <c:v>0.14000000000000001</c:v>
                </c:pt>
                <c:pt idx="3">
                  <c:v>0.16</c:v>
                </c:pt>
                <c:pt idx="4">
                  <c:v>0.18</c:v>
                </c:pt>
                <c:pt idx="5">
                  <c:v>0.2</c:v>
                </c:pt>
              </c:numCache>
            </c:numRef>
          </c:cat>
          <c:val>
            <c:numRef>
              <c:f>'2.ставка дисконтирования'!$D$8:$I$8</c:f>
              <c:numCache>
                <c:formatCode>0</c:formatCode>
                <c:ptCount val="6"/>
              </c:numCache>
            </c:numRef>
          </c:val>
        </c:ser>
        <c:marker val="1"/>
        <c:axId val="106366080"/>
        <c:axId val="106367616"/>
      </c:lineChart>
      <c:catAx>
        <c:axId val="106366080"/>
        <c:scaling>
          <c:orientation val="minMax"/>
        </c:scaling>
        <c:axPos val="b"/>
        <c:numFmt formatCode="0%" sourceLinked="1"/>
        <c:tickLblPos val="nextTo"/>
        <c:crossAx val="106367616"/>
        <c:crosses val="autoZero"/>
        <c:auto val="1"/>
        <c:lblAlgn val="ctr"/>
        <c:lblOffset val="100"/>
      </c:catAx>
      <c:valAx>
        <c:axId val="106367616"/>
        <c:scaling>
          <c:orientation val="minMax"/>
        </c:scaling>
        <c:axPos val="l"/>
        <c:majorGridlines/>
        <c:numFmt formatCode="0" sourceLinked="1"/>
        <c:tickLblPos val="nextTo"/>
        <c:crossAx val="106366080"/>
        <c:crosses val="autoZero"/>
        <c:crossBetween val="midCat"/>
      </c:valAx>
    </c:plotArea>
    <c:legend>
      <c:legendPos val="r"/>
    </c:legend>
    <c:plotVisOnly val="1"/>
  </c:chart>
  <c:printSettings>
    <c:headerFooter/>
    <c:pageMargins b="0.75000000000000155" l="0.70000000000000062" r="0.70000000000000062" t="0.750000000000001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title>
      <c:layout/>
    </c:title>
    <c:plotArea>
      <c:layout/>
      <c:lineChart>
        <c:grouping val="standard"/>
        <c:ser>
          <c:idx val="0"/>
          <c:order val="0"/>
          <c:tx>
            <c:strRef>
              <c:f>'3.анализ чувствительности'!$B$11</c:f>
              <c:strCache>
                <c:ptCount val="1"/>
                <c:pt idx="0">
                  <c:v>NPV</c:v>
                </c:pt>
              </c:strCache>
            </c:strRef>
          </c:tx>
          <c:cat>
            <c:numRef>
              <c:f>'3.анализ чувствительности'!$D$10:$H$10</c:f>
              <c:numCache>
                <c:formatCode>General</c:formatCode>
                <c:ptCount val="5"/>
                <c:pt idx="0">
                  <c:v>53000</c:v>
                </c:pt>
                <c:pt idx="1">
                  <c:v>54000</c:v>
                </c:pt>
                <c:pt idx="2">
                  <c:v>55000</c:v>
                </c:pt>
                <c:pt idx="3">
                  <c:v>56000</c:v>
                </c:pt>
                <c:pt idx="4">
                  <c:v>57000</c:v>
                </c:pt>
              </c:numCache>
            </c:numRef>
          </c:cat>
          <c:val>
            <c:numRef>
              <c:f>'3.анализ чувствительности'!$D$11:$H$11</c:f>
              <c:numCache>
                <c:formatCode>General</c:formatCode>
                <c:ptCount val="5"/>
              </c:numCache>
            </c:numRef>
          </c:val>
        </c:ser>
        <c:marker val="1"/>
        <c:axId val="106384000"/>
        <c:axId val="106410368"/>
      </c:lineChart>
      <c:catAx>
        <c:axId val="106384000"/>
        <c:scaling>
          <c:orientation val="minMax"/>
        </c:scaling>
        <c:axPos val="b"/>
        <c:numFmt formatCode="General" sourceLinked="1"/>
        <c:tickLblPos val="nextTo"/>
        <c:crossAx val="106410368"/>
        <c:crosses val="autoZero"/>
        <c:auto val="1"/>
        <c:lblAlgn val="ctr"/>
        <c:lblOffset val="100"/>
      </c:catAx>
      <c:valAx>
        <c:axId val="106410368"/>
        <c:scaling>
          <c:orientation val="minMax"/>
        </c:scaling>
        <c:axPos val="l"/>
        <c:majorGridlines/>
        <c:numFmt formatCode="General" sourceLinked="1"/>
        <c:tickLblPos val="nextTo"/>
        <c:crossAx val="106384000"/>
        <c:crosses val="autoZero"/>
        <c:crossBetween val="midCat"/>
      </c:valAx>
    </c:plotArea>
    <c:legend>
      <c:legendPos val="r"/>
      <c:layout/>
    </c:legend>
    <c:plotVisOnly val="1"/>
  </c:chart>
  <c:printSettings>
    <c:headerFooter/>
    <c:pageMargins b="0.75000000000000122" l="0.70000000000000062" r="0.70000000000000062" t="0.7500000000000012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plotArea>
      <c:layout/>
      <c:lineChart>
        <c:grouping val="standard"/>
        <c:ser>
          <c:idx val="1"/>
          <c:order val="0"/>
          <c:tx>
            <c:strRef>
              <c:f>'3.анализ чувствительности'!$B$37</c:f>
              <c:strCache>
                <c:ptCount val="1"/>
                <c:pt idx="0">
                  <c:v>IRR</c:v>
                </c:pt>
              </c:strCache>
            </c:strRef>
          </c:tx>
          <c:cat>
            <c:numRef>
              <c:f>'3.анализ чувствительности'!$D$36:$H$36</c:f>
              <c:numCache>
                <c:formatCode>0%</c:formatCode>
                <c:ptCount val="5"/>
                <c:pt idx="0">
                  <c:v>-0.2</c:v>
                </c:pt>
                <c:pt idx="1">
                  <c:v>-0.1</c:v>
                </c:pt>
                <c:pt idx="2">
                  <c:v>0</c:v>
                </c:pt>
                <c:pt idx="3">
                  <c:v>0.1</c:v>
                </c:pt>
                <c:pt idx="4">
                  <c:v>0.2</c:v>
                </c:pt>
              </c:numCache>
            </c:numRef>
          </c:cat>
          <c:val>
            <c:numRef>
              <c:f>'3.анализ чувствительности'!$D$37:$H$37</c:f>
              <c:numCache>
                <c:formatCode>General</c:formatCode>
                <c:ptCount val="5"/>
              </c:numCache>
            </c:numRef>
          </c:val>
        </c:ser>
        <c:marker val="1"/>
        <c:axId val="38281216"/>
        <c:axId val="38282752"/>
      </c:lineChart>
      <c:catAx>
        <c:axId val="38281216"/>
        <c:scaling>
          <c:orientation val="minMax"/>
        </c:scaling>
        <c:axPos val="b"/>
        <c:numFmt formatCode="0%" sourceLinked="1"/>
        <c:tickLblPos val="nextTo"/>
        <c:crossAx val="38282752"/>
        <c:crosses val="autoZero"/>
        <c:auto val="1"/>
        <c:lblAlgn val="ctr"/>
        <c:lblOffset val="100"/>
      </c:catAx>
      <c:valAx>
        <c:axId val="38282752"/>
        <c:scaling>
          <c:orientation val="minMax"/>
        </c:scaling>
        <c:axPos val="l"/>
        <c:majorGridlines/>
        <c:numFmt formatCode="General" sourceLinked="1"/>
        <c:tickLblPos val="nextTo"/>
        <c:crossAx val="38281216"/>
        <c:crosses val="autoZero"/>
        <c:crossBetween val="between"/>
      </c:valAx>
    </c:plotArea>
    <c:legend>
      <c:legendPos val="r"/>
    </c:legend>
    <c:plotVisOnly val="1"/>
  </c:chart>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209550</xdr:colOff>
      <xdr:row>49</xdr:row>
      <xdr:rowOff>38100</xdr:rowOff>
    </xdr:from>
    <xdr:to>
      <xdr:col>6</xdr:col>
      <xdr:colOff>542925</xdr:colOff>
      <xdr:row>63</xdr:row>
      <xdr:rowOff>114300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1123950</xdr:colOff>
      <xdr:row>97</xdr:row>
      <xdr:rowOff>180975</xdr:rowOff>
    </xdr:from>
    <xdr:to>
      <xdr:col>2</xdr:col>
      <xdr:colOff>1219200</xdr:colOff>
      <xdr:row>98</xdr:row>
      <xdr:rowOff>200025</xdr:rowOff>
    </xdr:to>
    <xdr:pic>
      <xdr:nvPicPr>
        <xdr:cNvPr id="3" name="Picture 39"/>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1733550" y="52882800"/>
          <a:ext cx="95250" cy="228600"/>
        </a:xfrm>
        <a:prstGeom prst="rect">
          <a:avLst/>
        </a:prstGeom>
        <a:noFill/>
      </xdr:spPr>
    </xdr:pic>
    <xdr:clientData/>
  </xdr:twoCellAnchor>
  <xdr:twoCellAnchor>
    <xdr:from>
      <xdr:col>2</xdr:col>
      <xdr:colOff>1913731</xdr:colOff>
      <xdr:row>102</xdr:row>
      <xdr:rowOff>0</xdr:rowOff>
    </xdr:from>
    <xdr:to>
      <xdr:col>2</xdr:col>
      <xdr:colOff>2028825</xdr:colOff>
      <xdr:row>103</xdr:row>
      <xdr:rowOff>66675</xdr:rowOff>
    </xdr:to>
    <xdr:pic>
      <xdr:nvPicPr>
        <xdr:cNvPr id="4" name="Picture 39"/>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3485356" y="21793200"/>
          <a:ext cx="115094" cy="2762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449580</xdr:colOff>
      <xdr:row>8</xdr:row>
      <xdr:rowOff>38100</xdr:rowOff>
    </xdr:from>
    <xdr:to>
      <xdr:col>8</xdr:col>
      <xdr:colOff>592455</xdr:colOff>
      <xdr:row>22</xdr:row>
      <xdr:rowOff>114300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135255</xdr:rowOff>
    </xdr:from>
    <xdr:to>
      <xdr:col>8</xdr:col>
      <xdr:colOff>381000</xdr:colOff>
      <xdr:row>30</xdr:row>
      <xdr:rowOff>62865</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342899</xdr:colOff>
      <xdr:row>38</xdr:row>
      <xdr:rowOff>123825</xdr:rowOff>
    </xdr:from>
    <xdr:to>
      <xdr:col>10</xdr:col>
      <xdr:colOff>95249</xdr:colOff>
      <xdr:row>54</xdr:row>
      <xdr:rowOff>0</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323850</xdr:colOff>
      <xdr:row>14</xdr:row>
      <xdr:rowOff>28576</xdr:rowOff>
    </xdr:from>
    <xdr:to>
      <xdr:col>2</xdr:col>
      <xdr:colOff>1809750</xdr:colOff>
      <xdr:row>16</xdr:row>
      <xdr:rowOff>142875</xdr:rowOff>
    </xdr:to>
    <xdr:pic>
      <xdr:nvPicPr>
        <xdr:cNvPr id="2050" name="Picture 2"/>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blip>
        <a:srcRect/>
        <a:stretch>
          <a:fillRect/>
        </a:stretch>
      </xdr:blipFill>
      <xdr:spPr bwMode="auto">
        <a:xfrm>
          <a:off x="1543050" y="4114801"/>
          <a:ext cx="1485900" cy="600074"/>
        </a:xfrm>
        <a:prstGeom prst="rect">
          <a:avLst/>
        </a:prstGeom>
        <a:noFill/>
      </xdr:spPr>
    </xdr:pic>
    <xdr:clientData/>
  </xdr:twoCellAnchor>
  <xdr:twoCellAnchor>
    <xdr:from>
      <xdr:col>2</xdr:col>
      <xdr:colOff>0</xdr:colOff>
      <xdr:row>20</xdr:row>
      <xdr:rowOff>114301</xdr:rowOff>
    </xdr:from>
    <xdr:to>
      <xdr:col>3</xdr:col>
      <xdr:colOff>419100</xdr:colOff>
      <xdr:row>22</xdr:row>
      <xdr:rowOff>314326</xdr:rowOff>
    </xdr:to>
    <xdr:pic>
      <xdr:nvPicPr>
        <xdr:cNvPr id="2051" name="Picture 3"/>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blip>
        <a:srcRect/>
        <a:stretch>
          <a:fillRect/>
        </a:stretch>
      </xdr:blipFill>
      <xdr:spPr bwMode="auto">
        <a:xfrm>
          <a:off x="1219200" y="5419726"/>
          <a:ext cx="2581275" cy="685800"/>
        </a:xfrm>
        <a:prstGeom prst="rect">
          <a:avLst/>
        </a:prstGeom>
        <a:no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dimension ref="A2:K103"/>
  <sheetViews>
    <sheetView workbookViewId="0"/>
  </sheetViews>
  <sheetFormatPr defaultRowHeight="14.4"/>
  <cols>
    <col min="1" max="1" width="8.5546875" customWidth="1"/>
    <col min="2" max="2" width="31.6640625" customWidth="1"/>
    <col min="3" max="3" width="42" customWidth="1"/>
    <col min="4" max="4" width="12.6640625" bestFit="1" customWidth="1"/>
    <col min="6" max="6" width="10.6640625" customWidth="1"/>
  </cols>
  <sheetData>
    <row r="2" spans="3:10" ht="30.75" customHeight="1">
      <c r="C2" s="69" t="s">
        <v>62</v>
      </c>
      <c r="D2" s="69"/>
      <c r="E2" s="69"/>
      <c r="F2" s="69"/>
      <c r="G2" s="69"/>
      <c r="H2" s="69"/>
      <c r="I2" s="69"/>
      <c r="J2" s="69"/>
    </row>
    <row r="3" spans="3:10" ht="42.75" customHeight="1">
      <c r="C3" s="69"/>
      <c r="D3" s="69"/>
      <c r="E3" s="69"/>
      <c r="F3" s="69"/>
      <c r="G3" s="69"/>
      <c r="H3" s="69"/>
      <c r="I3" s="69"/>
      <c r="J3" s="69"/>
    </row>
    <row r="4" spans="3:10" ht="30" customHeight="1">
      <c r="C4" s="69"/>
      <c r="D4" s="69"/>
      <c r="E4" s="69"/>
      <c r="F4" s="69"/>
      <c r="G4" s="69"/>
      <c r="H4" s="69"/>
      <c r="I4" s="69"/>
      <c r="J4" s="69"/>
    </row>
    <row r="6" spans="3:10" ht="15" thickBot="1"/>
    <row r="7" spans="3:10" ht="16.2" thickBot="1">
      <c r="C7" s="23" t="s">
        <v>0</v>
      </c>
      <c r="D7" s="70">
        <v>0</v>
      </c>
      <c r="E7" s="71"/>
      <c r="F7" s="24">
        <v>1</v>
      </c>
      <c r="G7" s="24">
        <v>2</v>
      </c>
      <c r="H7" s="24">
        <v>3</v>
      </c>
      <c r="I7" s="24">
        <v>4</v>
      </c>
      <c r="J7" s="24">
        <v>5</v>
      </c>
    </row>
    <row r="8" spans="3:10" ht="16.2" thickBot="1">
      <c r="C8" s="62" t="s">
        <v>1</v>
      </c>
      <c r="D8" s="63"/>
      <c r="E8" s="63"/>
      <c r="F8" s="63"/>
      <c r="G8" s="63"/>
      <c r="H8" s="63"/>
      <c r="I8" s="63"/>
      <c r="J8" s="64"/>
    </row>
    <row r="9" spans="3:10" ht="16.2" thickBot="1">
      <c r="C9" s="28" t="s">
        <v>2</v>
      </c>
      <c r="D9" s="60">
        <v>35000</v>
      </c>
      <c r="E9" s="61"/>
      <c r="F9" s="29"/>
      <c r="G9" s="29"/>
      <c r="H9" s="29"/>
      <c r="I9" s="29"/>
      <c r="J9" s="29"/>
    </row>
    <row r="10" spans="3:10" ht="16.2" thickBot="1">
      <c r="C10" s="28" t="s">
        <v>3</v>
      </c>
      <c r="D10" s="60">
        <v>5000</v>
      </c>
      <c r="E10" s="61"/>
      <c r="F10" s="29"/>
      <c r="G10" s="29"/>
      <c r="H10" s="29"/>
      <c r="I10" s="29"/>
      <c r="J10" s="29"/>
    </row>
    <row r="11" spans="3:10" ht="38.25" customHeight="1" thickBot="1">
      <c r="C11" s="30" t="s">
        <v>4</v>
      </c>
      <c r="D11" s="60">
        <f>SUM(D9:E10)</f>
        <v>40000</v>
      </c>
      <c r="E11" s="61"/>
      <c r="F11" s="29"/>
      <c r="G11" s="29"/>
      <c r="H11" s="29"/>
      <c r="I11" s="29"/>
      <c r="J11" s="29"/>
    </row>
    <row r="12" spans="3:10" ht="35.25" customHeight="1" thickBot="1">
      <c r="C12" s="30" t="s">
        <v>5</v>
      </c>
      <c r="D12" s="60">
        <v>15000</v>
      </c>
      <c r="E12" s="61"/>
      <c r="F12" s="29"/>
      <c r="G12" s="29"/>
      <c r="H12" s="29"/>
      <c r="I12" s="29"/>
      <c r="J12" s="29"/>
    </row>
    <row r="13" spans="3:10" ht="29.25" customHeight="1" thickBot="1">
      <c r="C13" s="27" t="s">
        <v>6</v>
      </c>
      <c r="D13" s="65">
        <f>A38</f>
        <v>55000</v>
      </c>
      <c r="E13" s="66"/>
      <c r="F13" s="26"/>
      <c r="G13" s="26"/>
      <c r="H13" s="26"/>
      <c r="I13" s="26"/>
      <c r="J13" s="26"/>
    </row>
    <row r="14" spans="3:10" ht="16.2" thickBot="1">
      <c r="C14" s="62" t="s">
        <v>7</v>
      </c>
      <c r="D14" s="63"/>
      <c r="E14" s="63"/>
      <c r="F14" s="63"/>
      <c r="G14" s="63"/>
      <c r="H14" s="63"/>
      <c r="I14" s="63"/>
      <c r="J14" s="64"/>
    </row>
    <row r="15" spans="3:10" ht="16.2" thickBot="1">
      <c r="C15" s="22" t="s">
        <v>8</v>
      </c>
      <c r="D15" s="65"/>
      <c r="E15" s="66"/>
      <c r="F15" s="26">
        <f>100*(1+$A$41)</f>
        <v>100</v>
      </c>
      <c r="G15" s="26">
        <f>130*(1+A41)</f>
        <v>130</v>
      </c>
      <c r="H15" s="26">
        <f>160*(1+A41)</f>
        <v>160</v>
      </c>
      <c r="I15" s="26">
        <f>100*(1+A41)</f>
        <v>100</v>
      </c>
      <c r="J15" s="26">
        <f>80*(1+A41)</f>
        <v>80</v>
      </c>
    </row>
    <row r="16" spans="3:10" ht="16.2" thickBot="1">
      <c r="C16" s="25" t="s">
        <v>9</v>
      </c>
      <c r="D16" s="65"/>
      <c r="E16" s="66"/>
      <c r="F16" s="26">
        <f>$A$39</f>
        <v>500</v>
      </c>
      <c r="G16" s="26">
        <f t="shared" ref="G16:I16" si="0">$A$39</f>
        <v>500</v>
      </c>
      <c r="H16" s="26">
        <f t="shared" si="0"/>
        <v>500</v>
      </c>
      <c r="I16" s="26">
        <f t="shared" si="0"/>
        <v>500</v>
      </c>
      <c r="J16" s="26">
        <f>$A$39</f>
        <v>500</v>
      </c>
    </row>
    <row r="17" spans="3:10" ht="16.2" thickBot="1">
      <c r="C17" s="28" t="s">
        <v>10</v>
      </c>
      <c r="D17" s="60"/>
      <c r="E17" s="61"/>
      <c r="F17" s="29">
        <f>F15*F16</f>
        <v>50000</v>
      </c>
      <c r="G17" s="29">
        <f t="shared" ref="G17:J17" si="1">G15*G16</f>
        <v>65000</v>
      </c>
      <c r="H17" s="29">
        <f t="shared" si="1"/>
        <v>80000</v>
      </c>
      <c r="I17" s="29">
        <f t="shared" si="1"/>
        <v>50000</v>
      </c>
      <c r="J17" s="29">
        <f t="shared" si="1"/>
        <v>40000</v>
      </c>
    </row>
    <row r="18" spans="3:10" ht="16.2" thickBot="1">
      <c r="C18" s="25" t="s">
        <v>11</v>
      </c>
      <c r="D18" s="65"/>
      <c r="E18" s="66"/>
      <c r="F18" s="26">
        <f>$A$40*F15</f>
        <v>35000</v>
      </c>
      <c r="G18" s="26">
        <f>$A$40*G15</f>
        <v>45500</v>
      </c>
      <c r="H18" s="26">
        <f>$A$40*H15</f>
        <v>56000</v>
      </c>
      <c r="I18" s="26">
        <f>$A$40*I15</f>
        <v>35000</v>
      </c>
      <c r="J18" s="26">
        <f>$A$40*J15</f>
        <v>28000</v>
      </c>
    </row>
    <row r="19" spans="3:10" ht="16.2" thickBot="1">
      <c r="C19" s="28" t="s">
        <v>12</v>
      </c>
      <c r="D19" s="60"/>
      <c r="E19" s="61"/>
      <c r="F19" s="29">
        <v>300</v>
      </c>
      <c r="G19" s="29">
        <v>300</v>
      </c>
      <c r="H19" s="29">
        <v>300</v>
      </c>
      <c r="I19" s="29">
        <v>300</v>
      </c>
      <c r="J19" s="29">
        <v>300</v>
      </c>
    </row>
    <row r="20" spans="3:10" ht="16.2" thickBot="1">
      <c r="C20" s="28" t="s">
        <v>13</v>
      </c>
      <c r="D20" s="60"/>
      <c r="E20" s="61"/>
      <c r="F20" s="29">
        <f>F17-F18-F19</f>
        <v>14700</v>
      </c>
      <c r="G20" s="29">
        <f t="shared" ref="G20:J20" si="2">G17-G18-G19</f>
        <v>19200</v>
      </c>
      <c r="H20" s="29">
        <f t="shared" si="2"/>
        <v>23700</v>
      </c>
      <c r="I20" s="29">
        <f t="shared" si="2"/>
        <v>14700</v>
      </c>
      <c r="J20" s="29">
        <f t="shared" si="2"/>
        <v>11700</v>
      </c>
    </row>
    <row r="21" spans="3:10" ht="16.2" thickBot="1">
      <c r="C21" s="28" t="s">
        <v>14</v>
      </c>
      <c r="D21" s="60"/>
      <c r="E21" s="61"/>
      <c r="F21" s="29">
        <f>($A$38-$J$32-$D$12)/5</f>
        <v>7000</v>
      </c>
      <c r="G21" s="29">
        <f t="shared" ref="G21:J21" si="3">($A$38-$J$32-$D$12)/5</f>
        <v>7000</v>
      </c>
      <c r="H21" s="29">
        <f t="shared" si="3"/>
        <v>7000</v>
      </c>
      <c r="I21" s="29">
        <f t="shared" si="3"/>
        <v>7000</v>
      </c>
      <c r="J21" s="29">
        <f t="shared" si="3"/>
        <v>7000</v>
      </c>
    </row>
    <row r="22" spans="3:10" ht="16.2" thickBot="1">
      <c r="C22" s="28" t="s">
        <v>15</v>
      </c>
      <c r="D22" s="60"/>
      <c r="E22" s="61"/>
      <c r="F22" s="29">
        <f>F20-F21</f>
        <v>7700</v>
      </c>
      <c r="G22" s="29">
        <f>G20-G21</f>
        <v>12200</v>
      </c>
      <c r="H22" s="29">
        <f t="shared" ref="H22:J22" si="4">H20-H21</f>
        <v>16700</v>
      </c>
      <c r="I22" s="29">
        <f t="shared" si="4"/>
        <v>7700</v>
      </c>
      <c r="J22" s="29">
        <f t="shared" si="4"/>
        <v>4700</v>
      </c>
    </row>
    <row r="23" spans="3:10" ht="16.2" thickBot="1">
      <c r="C23" s="28" t="s">
        <v>16</v>
      </c>
      <c r="D23" s="60"/>
      <c r="E23" s="61"/>
      <c r="F23" s="29">
        <f>0.2*F22</f>
        <v>1540</v>
      </c>
      <c r="G23" s="29">
        <f>0.2*G22</f>
        <v>2440</v>
      </c>
      <c r="H23" s="29">
        <f t="shared" ref="H23:J23" si="5">0.2*H22</f>
        <v>3340</v>
      </c>
      <c r="I23" s="29">
        <f t="shared" si="5"/>
        <v>1540</v>
      </c>
      <c r="J23" s="29">
        <f t="shared" si="5"/>
        <v>940</v>
      </c>
    </row>
    <row r="24" spans="3:10" ht="16.2" thickBot="1">
      <c r="C24" s="28" t="s">
        <v>17</v>
      </c>
      <c r="D24" s="60"/>
      <c r="E24" s="61"/>
      <c r="F24" s="29">
        <f>F22-F23</f>
        <v>6160</v>
      </c>
      <c r="G24" s="29">
        <f>G22-G23</f>
        <v>9760</v>
      </c>
      <c r="H24" s="29">
        <f t="shared" ref="H24:J24" si="6">H22-H23</f>
        <v>13360</v>
      </c>
      <c r="I24" s="29">
        <f t="shared" si="6"/>
        <v>6160</v>
      </c>
      <c r="J24" s="29">
        <f t="shared" si="6"/>
        <v>3760</v>
      </c>
    </row>
    <row r="25" spans="3:10" ht="25.5" customHeight="1" thickBot="1">
      <c r="C25" s="28" t="s">
        <v>18</v>
      </c>
      <c r="D25" s="60"/>
      <c r="E25" s="61"/>
      <c r="F25" s="29">
        <f>F24+F21</f>
        <v>13160</v>
      </c>
      <c r="G25" s="29">
        <f>G24+G21</f>
        <v>16760</v>
      </c>
      <c r="H25" s="29">
        <f>H24+H21</f>
        <v>20360</v>
      </c>
      <c r="I25" s="29">
        <f>I24+I21</f>
        <v>13160</v>
      </c>
      <c r="J25" s="29">
        <f>J24+J21</f>
        <v>10760</v>
      </c>
    </row>
    <row r="26" spans="3:10" ht="16.2" thickBot="1">
      <c r="C26" s="62" t="s">
        <v>19</v>
      </c>
      <c r="D26" s="63"/>
      <c r="E26" s="63"/>
      <c r="F26" s="63"/>
      <c r="G26" s="63"/>
      <c r="H26" s="63"/>
      <c r="I26" s="63"/>
      <c r="J26" s="68"/>
    </row>
    <row r="27" spans="3:10" ht="16.2" thickBot="1">
      <c r="C27" s="31" t="s">
        <v>5</v>
      </c>
      <c r="D27" s="60"/>
      <c r="E27" s="61"/>
      <c r="F27" s="29">
        <f>0.3*G17</f>
        <v>19500</v>
      </c>
      <c r="G27" s="29">
        <f>0.3*H17</f>
        <v>24000</v>
      </c>
      <c r="H27" s="29">
        <f>0.3*I17</f>
        <v>15000</v>
      </c>
      <c r="I27" s="29">
        <f>0.3*J17</f>
        <v>12000</v>
      </c>
      <c r="J27" s="29"/>
    </row>
    <row r="28" spans="3:10" ht="16.2" thickBot="1">
      <c r="C28" s="28" t="s">
        <v>20</v>
      </c>
      <c r="D28" s="60"/>
      <c r="E28" s="61"/>
      <c r="F28" s="29">
        <f>F27-D12</f>
        <v>4500</v>
      </c>
      <c r="G28" s="29">
        <f>G27-F27</f>
        <v>4500</v>
      </c>
      <c r="H28" s="29">
        <f>H27-G27</f>
        <v>-9000</v>
      </c>
      <c r="I28" s="29">
        <f>I27-H27</f>
        <v>-3000</v>
      </c>
      <c r="J28" s="32"/>
    </row>
    <row r="29" spans="3:10" ht="16.2" thickBot="1">
      <c r="C29" s="62" t="s">
        <v>21</v>
      </c>
      <c r="D29" s="63"/>
      <c r="E29" s="63"/>
      <c r="F29" s="63"/>
      <c r="G29" s="63"/>
      <c r="H29" s="63"/>
      <c r="I29" s="63"/>
      <c r="J29" s="68"/>
    </row>
    <row r="30" spans="3:10" ht="16.2" thickBot="1">
      <c r="C30" s="28" t="s">
        <v>22</v>
      </c>
      <c r="D30" s="60"/>
      <c r="E30" s="61"/>
      <c r="F30" s="28">
        <v>0</v>
      </c>
      <c r="G30" s="28">
        <v>0</v>
      </c>
      <c r="H30" s="28">
        <v>0</v>
      </c>
      <c r="I30" s="28">
        <v>0</v>
      </c>
      <c r="J30" s="28">
        <v>0</v>
      </c>
    </row>
    <row r="31" spans="3:10" ht="16.2" thickBot="1">
      <c r="C31" s="62" t="s">
        <v>23</v>
      </c>
      <c r="D31" s="63"/>
      <c r="E31" s="63"/>
      <c r="F31" s="63"/>
      <c r="G31" s="63"/>
      <c r="H31" s="63"/>
      <c r="I31" s="63"/>
      <c r="J31" s="68"/>
    </row>
    <row r="32" spans="3:10" ht="16.2" thickBot="1">
      <c r="C32" s="28" t="s">
        <v>24</v>
      </c>
      <c r="D32" s="60"/>
      <c r="E32" s="61"/>
      <c r="F32" s="28"/>
      <c r="G32" s="28"/>
      <c r="H32" s="28"/>
      <c r="I32" s="28"/>
      <c r="J32" s="28">
        <v>5000</v>
      </c>
    </row>
    <row r="33" spans="1:11" ht="16.2" thickBot="1">
      <c r="C33" s="28" t="s">
        <v>25</v>
      </c>
      <c r="D33" s="60"/>
      <c r="E33" s="61"/>
      <c r="F33" s="28"/>
      <c r="G33" s="28"/>
      <c r="H33" s="28"/>
      <c r="I33" s="28"/>
      <c r="J33" s="28">
        <f>I27</f>
        <v>12000</v>
      </c>
    </row>
    <row r="34" spans="1:11" ht="16.2" thickBot="1">
      <c r="C34" s="28" t="s">
        <v>26</v>
      </c>
      <c r="D34" s="60"/>
      <c r="E34" s="61"/>
      <c r="F34" s="28"/>
      <c r="G34" s="28"/>
      <c r="H34" s="28"/>
      <c r="I34" s="28"/>
      <c r="J34" s="28">
        <f>SUM(J32:J33)</f>
        <v>17000</v>
      </c>
    </row>
    <row r="35" spans="1:11" ht="16.2" thickBot="1">
      <c r="C35" s="62" t="s">
        <v>27</v>
      </c>
      <c r="D35" s="63"/>
      <c r="E35" s="63"/>
      <c r="F35" s="63"/>
      <c r="G35" s="63"/>
      <c r="H35" s="63"/>
      <c r="I35" s="63"/>
      <c r="J35" s="68"/>
    </row>
    <row r="36" spans="1:11" ht="16.2" thickBot="1">
      <c r="C36" s="28" t="s">
        <v>28</v>
      </c>
      <c r="D36" s="60">
        <f>-D13</f>
        <v>-55000</v>
      </c>
      <c r="E36" s="61">
        <f>-D13</f>
        <v>-55000</v>
      </c>
      <c r="F36" s="28">
        <f>F25-F28</f>
        <v>8660</v>
      </c>
      <c r="G36" s="28">
        <f>G25-G28</f>
        <v>12260</v>
      </c>
      <c r="H36" s="28">
        <f>H25-H28</f>
        <v>29360</v>
      </c>
      <c r="I36" s="28">
        <f>I25-I28</f>
        <v>16160</v>
      </c>
      <c r="J36" s="28">
        <f>J25-J28+J34</f>
        <v>27760</v>
      </c>
    </row>
    <row r="37" spans="1:11" ht="16.2" thickBot="1">
      <c r="A37" s="46">
        <v>0.14000000000000001</v>
      </c>
      <c r="B37" s="27" t="s">
        <v>39</v>
      </c>
      <c r="C37" s="28" t="s">
        <v>47</v>
      </c>
      <c r="D37" s="60">
        <v>1</v>
      </c>
      <c r="E37" s="61">
        <f>1/(1+$A$37)^D7</f>
        <v>1</v>
      </c>
      <c r="F37" s="28">
        <f>1/(1+$A$37)^F7</f>
        <v>0.8771929824561403</v>
      </c>
      <c r="G37" s="28">
        <f t="shared" ref="G37:J37" si="7">1/(1+$A$37)^G7</f>
        <v>0.76946752847029842</v>
      </c>
      <c r="H37" s="28">
        <f t="shared" si="7"/>
        <v>0.67497151620201612</v>
      </c>
      <c r="I37" s="28">
        <f t="shared" si="7"/>
        <v>0.59208027737018942</v>
      </c>
      <c r="J37" s="28">
        <f t="shared" si="7"/>
        <v>0.51936866435981521</v>
      </c>
    </row>
    <row r="38" spans="1:11" ht="31.5" customHeight="1" thickBot="1">
      <c r="A38" s="27">
        <f>D11+D12</f>
        <v>55000</v>
      </c>
      <c r="B38" s="27" t="s">
        <v>42</v>
      </c>
      <c r="C38" s="36" t="s">
        <v>29</v>
      </c>
      <c r="D38" s="60">
        <f>D36*D37</f>
        <v>-55000</v>
      </c>
      <c r="E38" s="61">
        <f>E36*E37</f>
        <v>-55000</v>
      </c>
      <c r="F38" s="28">
        <f>F36*F37</f>
        <v>7596.4912280701747</v>
      </c>
      <c r="G38" s="28">
        <f t="shared" ref="G38:J38" si="8">G36*G37</f>
        <v>9433.6718990458594</v>
      </c>
      <c r="H38" s="28">
        <f t="shared" si="8"/>
        <v>19817.163715691193</v>
      </c>
      <c r="I38" s="28">
        <f t="shared" si="8"/>
        <v>9568.0172823022604</v>
      </c>
      <c r="J38" s="28">
        <f t="shared" si="8"/>
        <v>14417.67412262847</v>
      </c>
      <c r="K38" s="44">
        <f>SUM(F38:J38)+D38</f>
        <v>5833.0182477379567</v>
      </c>
    </row>
    <row r="39" spans="1:11" ht="25.5" customHeight="1" thickBot="1">
      <c r="A39" s="27">
        <v>500</v>
      </c>
      <c r="B39" s="27" t="s">
        <v>43</v>
      </c>
      <c r="C39" s="36" t="s">
        <v>30</v>
      </c>
      <c r="D39" s="60">
        <f>D38</f>
        <v>-55000</v>
      </c>
      <c r="E39" s="61">
        <f>E38</f>
        <v>-55000</v>
      </c>
      <c r="F39" s="28">
        <f>E39+F38</f>
        <v>-47403.508771929824</v>
      </c>
      <c r="G39" s="28">
        <f>F39+G38</f>
        <v>-37969.836872883963</v>
      </c>
      <c r="H39" s="28">
        <f>G39+H38</f>
        <v>-18152.67315719277</v>
      </c>
      <c r="I39" s="28">
        <f>H39+I38</f>
        <v>-8584.6558748905099</v>
      </c>
      <c r="J39" s="28">
        <f>I39+J38</f>
        <v>5833.0182477379603</v>
      </c>
    </row>
    <row r="40" spans="1:11" ht="31.8" thickBot="1">
      <c r="A40" s="27">
        <v>350</v>
      </c>
      <c r="B40" s="27" t="s">
        <v>44</v>
      </c>
      <c r="C40" s="63" t="s">
        <v>31</v>
      </c>
      <c r="D40" s="63"/>
      <c r="E40" s="63"/>
      <c r="F40" s="63"/>
      <c r="G40" s="63"/>
      <c r="H40" s="63"/>
      <c r="I40" s="63"/>
      <c r="J40" s="68"/>
    </row>
    <row r="41" spans="1:11" ht="78.599999999999994" thickBot="1">
      <c r="A41" s="46">
        <v>0</v>
      </c>
      <c r="B41" s="27" t="s">
        <v>45</v>
      </c>
      <c r="C41" s="36" t="s">
        <v>32</v>
      </c>
      <c r="D41" s="60"/>
      <c r="E41" s="61"/>
      <c r="F41" s="28"/>
      <c r="G41" s="28"/>
      <c r="H41" s="28"/>
      <c r="I41" s="28"/>
      <c r="J41" s="34">
        <f>J39</f>
        <v>5833.0182477379603</v>
      </c>
    </row>
    <row r="42" spans="1:11" ht="16.2" thickBot="1">
      <c r="C42" s="30" t="s">
        <v>33</v>
      </c>
      <c r="D42" s="60"/>
      <c r="E42" s="61"/>
      <c r="F42" s="28"/>
      <c r="G42" s="28"/>
      <c r="H42" s="28"/>
      <c r="I42" s="28"/>
      <c r="J42" s="34">
        <f>IRR(E36:J36)</f>
        <v>0.17648704256766104</v>
      </c>
    </row>
    <row r="43" spans="1:11" ht="16.2" thickBot="1">
      <c r="C43" s="30" t="s">
        <v>35</v>
      </c>
      <c r="D43" s="60"/>
      <c r="E43" s="61"/>
      <c r="F43" s="28"/>
      <c r="G43" s="28"/>
      <c r="H43" s="28"/>
      <c r="I43" s="28"/>
      <c r="J43" s="34" t="s">
        <v>36</v>
      </c>
    </row>
    <row r="44" spans="1:11" ht="16.2" thickBot="1">
      <c r="B44" s="8"/>
      <c r="C44" s="30" t="s">
        <v>37</v>
      </c>
      <c r="D44" s="60"/>
      <c r="E44" s="61"/>
      <c r="F44" s="28"/>
      <c r="G44" s="28"/>
      <c r="H44" s="28"/>
      <c r="I44" s="28"/>
      <c r="J44" s="45">
        <f>-J39/D39</f>
        <v>0.10605487723159927</v>
      </c>
    </row>
    <row r="46" spans="1:11">
      <c r="C46" t="s">
        <v>39</v>
      </c>
      <c r="E46" s="11">
        <v>0.1</v>
      </c>
      <c r="F46" s="11">
        <v>0.12</v>
      </c>
      <c r="G46" s="11">
        <v>0.14000000000000001</v>
      </c>
      <c r="H46" s="11">
        <v>0.16</v>
      </c>
      <c r="I46" s="11">
        <v>0.18</v>
      </c>
      <c r="J46" s="11">
        <v>0.2</v>
      </c>
    </row>
    <row r="47" spans="1:11">
      <c r="C47" t="s">
        <v>32</v>
      </c>
      <c r="E47">
        <v>13337.84</v>
      </c>
      <c r="F47">
        <v>9425.35</v>
      </c>
      <c r="G47">
        <v>5833</v>
      </c>
      <c r="H47">
        <v>2528.3200000000002</v>
      </c>
      <c r="I47">
        <v>-517.4</v>
      </c>
      <c r="J47">
        <v>-3329.4</v>
      </c>
    </row>
    <row r="66" spans="3:8">
      <c r="C66" t="s">
        <v>40</v>
      </c>
    </row>
    <row r="72" spans="3:8">
      <c r="C72" s="67" t="s">
        <v>41</v>
      </c>
      <c r="D72" s="67"/>
      <c r="E72" s="67"/>
      <c r="F72" s="67"/>
      <c r="G72" s="67"/>
      <c r="H72" s="67"/>
    </row>
    <row r="73" spans="3:8">
      <c r="C73" t="s">
        <v>49</v>
      </c>
      <c r="D73" s="11">
        <v>0.15</v>
      </c>
      <c r="E73" s="11">
        <v>0.15</v>
      </c>
      <c r="F73" s="11">
        <v>0.4</v>
      </c>
      <c r="G73" s="11">
        <v>0.15</v>
      </c>
      <c r="H73" s="11">
        <v>0.15</v>
      </c>
    </row>
    <row r="74" spans="3:8">
      <c r="C74" t="s">
        <v>46</v>
      </c>
      <c r="D74" s="11">
        <v>0.18</v>
      </c>
      <c r="E74" s="11">
        <v>0.16</v>
      </c>
      <c r="F74" s="11">
        <v>0.14000000000000001</v>
      </c>
      <c r="G74" s="11">
        <v>0.13</v>
      </c>
      <c r="H74" s="11">
        <v>0.12</v>
      </c>
    </row>
    <row r="75" spans="3:8">
      <c r="C75" t="s">
        <v>42</v>
      </c>
      <c r="D75">
        <v>60000</v>
      </c>
      <c r="E75">
        <v>58000</v>
      </c>
      <c r="F75">
        <v>55000</v>
      </c>
      <c r="G75">
        <v>55000</v>
      </c>
      <c r="H75">
        <v>55000</v>
      </c>
    </row>
    <row r="76" spans="3:8">
      <c r="C76" t="s">
        <v>43</v>
      </c>
      <c r="D76">
        <v>450</v>
      </c>
      <c r="E76">
        <v>480</v>
      </c>
      <c r="F76">
        <v>500</v>
      </c>
      <c r="G76">
        <v>520</v>
      </c>
      <c r="H76">
        <v>540</v>
      </c>
    </row>
    <row r="77" spans="3:8">
      <c r="C77" t="s">
        <v>44</v>
      </c>
      <c r="D77">
        <v>400</v>
      </c>
      <c r="E77">
        <v>370</v>
      </c>
      <c r="F77">
        <v>350</v>
      </c>
      <c r="G77">
        <v>350</v>
      </c>
      <c r="H77">
        <v>350</v>
      </c>
    </row>
    <row r="78" spans="3:8" ht="43.2">
      <c r="C78" s="8" t="s">
        <v>45</v>
      </c>
      <c r="D78" s="11">
        <v>-0.1</v>
      </c>
      <c r="E78" s="11">
        <v>-0.05</v>
      </c>
      <c r="F78">
        <v>0</v>
      </c>
      <c r="G78" s="11">
        <v>0.05</v>
      </c>
      <c r="H78" s="11">
        <v>0.1</v>
      </c>
    </row>
    <row r="80" spans="3:8">
      <c r="C80" t="s">
        <v>46</v>
      </c>
      <c r="F80" s="11">
        <f>F74</f>
        <v>0.14000000000000001</v>
      </c>
    </row>
    <row r="81" spans="3:8">
      <c r="C81" t="s">
        <v>42</v>
      </c>
      <c r="F81" s="11">
        <f t="shared" ref="F81:F84" si="9">F75</f>
        <v>55000</v>
      </c>
    </row>
    <row r="82" spans="3:8">
      <c r="C82" t="s">
        <v>43</v>
      </c>
      <c r="F82" s="11">
        <f t="shared" si="9"/>
        <v>500</v>
      </c>
    </row>
    <row r="83" spans="3:8">
      <c r="C83" t="s">
        <v>44</v>
      </c>
      <c r="F83" s="11">
        <f t="shared" si="9"/>
        <v>350</v>
      </c>
    </row>
    <row r="84" spans="3:8" ht="43.2">
      <c r="C84" s="8" t="s">
        <v>45</v>
      </c>
      <c r="F84" s="11">
        <f t="shared" si="9"/>
        <v>0</v>
      </c>
    </row>
    <row r="88" spans="3:8">
      <c r="D88">
        <v>-5517</v>
      </c>
      <c r="E88">
        <v>-471.7</v>
      </c>
      <c r="F88">
        <v>5833</v>
      </c>
      <c r="G88">
        <v>7591</v>
      </c>
      <c r="H88">
        <v>9425</v>
      </c>
    </row>
    <row r="89" spans="3:8">
      <c r="D89">
        <f>D88*D73</f>
        <v>-827.55</v>
      </c>
      <c r="E89">
        <f>E88*E73</f>
        <v>-70.754999999999995</v>
      </c>
      <c r="F89">
        <f>F88*F73</f>
        <v>2333.2000000000003</v>
      </c>
      <c r="G89">
        <f>G88*G73</f>
        <v>1138.6499999999999</v>
      </c>
      <c r="H89">
        <f>H88*H73</f>
        <v>1413.75</v>
      </c>
    </row>
    <row r="90" spans="3:8">
      <c r="C90" t="s">
        <v>48</v>
      </c>
      <c r="F90">
        <f>SUM(D89:H89)</f>
        <v>3987.2950000000001</v>
      </c>
    </row>
    <row r="91" spans="3:8">
      <c r="D91">
        <f>D89-$F$90</f>
        <v>-4814.8450000000003</v>
      </c>
      <c r="E91">
        <f t="shared" ref="E91:H91" si="10">E89-$F$90</f>
        <v>-4058.05</v>
      </c>
      <c r="F91">
        <f t="shared" si="10"/>
        <v>-1654.0949999999998</v>
      </c>
      <c r="G91">
        <f t="shared" si="10"/>
        <v>-2848.6450000000004</v>
      </c>
      <c r="H91">
        <f t="shared" si="10"/>
        <v>-2573.5450000000001</v>
      </c>
    </row>
    <row r="92" spans="3:8">
      <c r="D92">
        <f>D91*D91</f>
        <v>23182732.374025002</v>
      </c>
      <c r="E92">
        <f t="shared" ref="E92:H92" si="11">E91*E91</f>
        <v>16467769.802500002</v>
      </c>
      <c r="F92">
        <f t="shared" si="11"/>
        <v>2736030.2690249993</v>
      </c>
      <c r="G92">
        <f t="shared" si="11"/>
        <v>8114778.3360250024</v>
      </c>
      <c r="H92">
        <f t="shared" si="11"/>
        <v>6623133.867025</v>
      </c>
    </row>
    <row r="93" spans="3:8">
      <c r="D93">
        <f>D92*D73</f>
        <v>3477409.8561037504</v>
      </c>
      <c r="E93">
        <f>E92*E73</f>
        <v>2470165.470375</v>
      </c>
      <c r="F93">
        <f>F92*F73</f>
        <v>1094412.1076099998</v>
      </c>
      <c r="G93">
        <f>G92*G73</f>
        <v>1217216.7504037502</v>
      </c>
      <c r="H93">
        <f>H92*H73</f>
        <v>993470.08005374996</v>
      </c>
    </row>
    <row r="94" spans="3:8">
      <c r="F94">
        <f>SUM(D93:H93)</f>
        <v>9252674.2645462509</v>
      </c>
    </row>
    <row r="95" spans="3:8">
      <c r="C95" t="s">
        <v>50</v>
      </c>
      <c r="F95">
        <f>F94^0.5</f>
        <v>3041.8208797603866</v>
      </c>
    </row>
    <row r="97" spans="3:4" ht="15" thickBot="1"/>
    <row r="98" spans="3:4" ht="16.2" thickBot="1">
      <c r="C98" s="13" t="s">
        <v>51</v>
      </c>
      <c r="D98" s="13">
        <f>F90</f>
        <v>3987.2950000000001</v>
      </c>
    </row>
    <row r="99" spans="3:4" ht="16.2" thickBot="1">
      <c r="C99" s="13"/>
      <c r="D99" s="13">
        <f>F95</f>
        <v>3041.8208797603866</v>
      </c>
    </row>
    <row r="100" spans="3:4" ht="16.2" thickBot="1">
      <c r="C100" s="13" t="s">
        <v>52</v>
      </c>
      <c r="D100" s="13">
        <f>D99/D98</f>
        <v>0.76287831217915569</v>
      </c>
    </row>
    <row r="101" spans="3:4" ht="16.2" thickBot="1">
      <c r="C101" s="13" t="s">
        <v>53</v>
      </c>
      <c r="D101" s="13">
        <f>NORMDIST(0,F90,F95,1)</f>
        <v>9.4958439043049792E-2</v>
      </c>
    </row>
    <row r="102" spans="3:4" ht="16.2" thickBot="1">
      <c r="C102" s="13" t="s">
        <v>54</v>
      </c>
      <c r="D102" s="13">
        <f>NORMDIST(F90,F90,F95,1)</f>
        <v>0.5</v>
      </c>
    </row>
    <row r="103" spans="3:4" ht="16.2" thickBot="1">
      <c r="C103" s="13" t="s">
        <v>55</v>
      </c>
      <c r="D103" s="13">
        <f>NORMDIST(F90-F95,F90,F95,1)</f>
        <v>0.15865525393145707</v>
      </c>
    </row>
  </sheetData>
  <mergeCells count="40">
    <mergeCell ref="D13:E13"/>
    <mergeCell ref="D12:E12"/>
    <mergeCell ref="C2:J4"/>
    <mergeCell ref="D7:E7"/>
    <mergeCell ref="C8:J8"/>
    <mergeCell ref="D9:E9"/>
    <mergeCell ref="D10:E10"/>
    <mergeCell ref="D11:E11"/>
    <mergeCell ref="D15:E15"/>
    <mergeCell ref="D16:E16"/>
    <mergeCell ref="D17:E17"/>
    <mergeCell ref="C72:H72"/>
    <mergeCell ref="C40:J40"/>
    <mergeCell ref="D41:E41"/>
    <mergeCell ref="D42:E42"/>
    <mergeCell ref="D43:E43"/>
    <mergeCell ref="D44:E44"/>
    <mergeCell ref="C26:J26"/>
    <mergeCell ref="C29:J29"/>
    <mergeCell ref="C31:J31"/>
    <mergeCell ref="C35:J35"/>
    <mergeCell ref="D32:E32"/>
    <mergeCell ref="D33:E33"/>
    <mergeCell ref="D34:E34"/>
    <mergeCell ref="D37:E37"/>
    <mergeCell ref="D36:E36"/>
    <mergeCell ref="D38:E38"/>
    <mergeCell ref="D39:E39"/>
    <mergeCell ref="C14:J14"/>
    <mergeCell ref="D30:E30"/>
    <mergeCell ref="D23:E23"/>
    <mergeCell ref="D24:E24"/>
    <mergeCell ref="D25:E25"/>
    <mergeCell ref="D27:E27"/>
    <mergeCell ref="D28:E28"/>
    <mergeCell ref="D18:E18"/>
    <mergeCell ref="D19:E19"/>
    <mergeCell ref="D20:E20"/>
    <mergeCell ref="D21:E21"/>
    <mergeCell ref="D22:E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U44"/>
  <sheetViews>
    <sheetView workbookViewId="0">
      <selection activeCell="D8" sqref="D8:I8"/>
    </sheetView>
  </sheetViews>
  <sheetFormatPr defaultRowHeight="14.4"/>
  <cols>
    <col min="2" max="2" width="29.5546875" customWidth="1"/>
    <col min="3" max="4" width="9.33203125" bestFit="1" customWidth="1"/>
    <col min="12" max="12" width="23.109375" customWidth="1"/>
    <col min="13" max="13" width="24.77734375" customWidth="1"/>
    <col min="14" max="14" width="31.88671875" customWidth="1"/>
  </cols>
  <sheetData>
    <row r="1" spans="2:21" ht="20.399999999999999" customHeight="1">
      <c r="B1" s="73" t="s">
        <v>80</v>
      </c>
      <c r="C1" s="73"/>
      <c r="D1" s="73"/>
      <c r="E1" s="73"/>
      <c r="F1" s="73"/>
      <c r="G1" s="73"/>
      <c r="H1" s="73"/>
      <c r="I1" s="73"/>
      <c r="J1" s="73"/>
      <c r="K1" s="73"/>
    </row>
    <row r="2" spans="2:21" ht="12.6" customHeight="1">
      <c r="B2" s="73"/>
      <c r="C2" s="73"/>
      <c r="D2" s="73"/>
      <c r="E2" s="73"/>
      <c r="F2" s="73"/>
      <c r="G2" s="73"/>
      <c r="H2" s="73"/>
      <c r="I2" s="73"/>
      <c r="J2" s="73"/>
      <c r="K2" s="73"/>
    </row>
    <row r="3" spans="2:21">
      <c r="J3" s="72" t="s">
        <v>72</v>
      </c>
      <c r="K3" s="72"/>
      <c r="L3" s="72"/>
      <c r="M3" s="72"/>
    </row>
    <row r="4" spans="2:21" ht="15.6" customHeight="1">
      <c r="B4" s="16" t="s">
        <v>39</v>
      </c>
      <c r="C4" s="16"/>
      <c r="D4" s="17">
        <v>0.1</v>
      </c>
      <c r="E4" s="17">
        <v>0.12</v>
      </c>
      <c r="F4" s="52">
        <v>0.14000000000000001</v>
      </c>
      <c r="G4" s="17">
        <v>0.16</v>
      </c>
      <c r="H4" s="17">
        <v>0.18</v>
      </c>
      <c r="I4" s="17">
        <v>0.2</v>
      </c>
      <c r="J4" s="72"/>
      <c r="K4" s="72"/>
      <c r="L4" s="72"/>
      <c r="M4" s="72"/>
    </row>
    <row r="5" spans="2:21" ht="15.6">
      <c r="B5" s="16" t="s">
        <v>32</v>
      </c>
      <c r="C5" s="16"/>
      <c r="D5" s="49">
        <v>13337.84</v>
      </c>
      <c r="E5" s="49">
        <v>9425.35</v>
      </c>
      <c r="F5" s="18">
        <v>5833</v>
      </c>
      <c r="G5" s="49">
        <v>2528.3200000000002</v>
      </c>
      <c r="H5" s="49">
        <v>-517.4</v>
      </c>
      <c r="I5" s="18"/>
      <c r="J5" s="72"/>
      <c r="K5" s="72"/>
      <c r="L5" s="72"/>
      <c r="M5" s="72"/>
    </row>
    <row r="6" spans="2:21" ht="15" thickBot="1">
      <c r="J6" s="72"/>
      <c r="K6" s="72"/>
      <c r="L6" s="72"/>
      <c r="M6" s="72"/>
    </row>
    <row r="7" spans="2:21" ht="16.2" thickBot="1">
      <c r="B7" s="16" t="s">
        <v>39</v>
      </c>
      <c r="C7" s="50"/>
      <c r="D7" s="17">
        <v>0.1</v>
      </c>
      <c r="E7" s="17">
        <v>0.12</v>
      </c>
      <c r="F7" s="52">
        <v>0.14000000000000001</v>
      </c>
      <c r="G7" s="17">
        <v>0.16</v>
      </c>
      <c r="H7" s="17">
        <v>0.18</v>
      </c>
      <c r="I7" s="17">
        <v>0.2</v>
      </c>
      <c r="J7" s="72"/>
      <c r="K7" s="72"/>
      <c r="L7" s="72"/>
      <c r="M7" s="72"/>
      <c r="N7" s="23" t="s">
        <v>0</v>
      </c>
      <c r="O7" s="70">
        <v>0</v>
      </c>
      <c r="P7" s="71"/>
      <c r="Q7" s="48">
        <v>1</v>
      </c>
      <c r="R7" s="48">
        <v>2</v>
      </c>
      <c r="S7" s="48">
        <v>3</v>
      </c>
      <c r="T7" s="48">
        <v>4</v>
      </c>
      <c r="U7" s="48">
        <v>5</v>
      </c>
    </row>
    <row r="8" spans="2:21" ht="15" customHeight="1" thickBot="1">
      <c r="B8" s="16" t="s">
        <v>32</v>
      </c>
      <c r="C8" s="51"/>
      <c r="D8" s="49"/>
      <c r="E8" s="49"/>
      <c r="F8" s="49"/>
      <c r="G8" s="49"/>
      <c r="H8" s="49"/>
      <c r="I8" s="49"/>
      <c r="J8" s="72"/>
      <c r="K8" s="72"/>
      <c r="L8" s="72"/>
      <c r="M8" s="72"/>
      <c r="N8" s="62" t="s">
        <v>1</v>
      </c>
      <c r="O8" s="63"/>
      <c r="P8" s="63"/>
      <c r="Q8" s="63"/>
      <c r="R8" s="63"/>
      <c r="S8" s="63"/>
      <c r="T8" s="63"/>
      <c r="U8" s="64"/>
    </row>
    <row r="9" spans="2:21" ht="16.2" thickBot="1">
      <c r="J9" s="72" t="s">
        <v>71</v>
      </c>
      <c r="K9" s="72"/>
      <c r="L9" s="72"/>
      <c r="M9" s="72"/>
      <c r="N9" s="28" t="s">
        <v>2</v>
      </c>
      <c r="O9" s="60">
        <v>35000</v>
      </c>
      <c r="P9" s="61"/>
      <c r="Q9" s="29"/>
      <c r="R9" s="29"/>
      <c r="S9" s="29"/>
      <c r="T9" s="29"/>
      <c r="U9" s="29"/>
    </row>
    <row r="10" spans="2:21" ht="16.2" thickBot="1">
      <c r="J10" s="72"/>
      <c r="K10" s="72"/>
      <c r="L10" s="72"/>
      <c r="M10" s="72"/>
      <c r="N10" s="28" t="s">
        <v>3</v>
      </c>
      <c r="O10" s="60">
        <v>5000</v>
      </c>
      <c r="P10" s="61"/>
      <c r="Q10" s="29"/>
      <c r="R10" s="29"/>
      <c r="S10" s="29"/>
      <c r="T10" s="29"/>
      <c r="U10" s="29"/>
    </row>
    <row r="11" spans="2:21" ht="15.6" customHeight="1" thickBot="1">
      <c r="J11" s="72"/>
      <c r="K11" s="72"/>
      <c r="L11" s="72"/>
      <c r="M11" s="72"/>
      <c r="N11" s="30" t="s">
        <v>4</v>
      </c>
      <c r="O11" s="60">
        <f>SUM(O9:P10)</f>
        <v>40000</v>
      </c>
      <c r="P11" s="61"/>
      <c r="Q11" s="29"/>
      <c r="R11" s="29"/>
      <c r="S11" s="29"/>
      <c r="T11" s="29"/>
      <c r="U11" s="29"/>
    </row>
    <row r="12" spans="2:21" ht="15" customHeight="1" thickBot="1">
      <c r="J12" s="72" t="s">
        <v>73</v>
      </c>
      <c r="K12" s="72"/>
      <c r="L12" s="72"/>
      <c r="M12" s="72"/>
      <c r="N12" s="30" t="s">
        <v>5</v>
      </c>
      <c r="O12" s="60">
        <v>15000</v>
      </c>
      <c r="P12" s="61"/>
      <c r="Q12" s="29"/>
      <c r="R12" s="29"/>
      <c r="S12" s="29"/>
      <c r="T12" s="29"/>
      <c r="U12" s="29"/>
    </row>
    <row r="13" spans="2:21" ht="16.8" customHeight="1" thickBot="1">
      <c r="J13" s="72"/>
      <c r="K13" s="72"/>
      <c r="L13" s="72"/>
      <c r="M13" s="72"/>
      <c r="N13" s="27" t="s">
        <v>6</v>
      </c>
      <c r="O13" s="65">
        <f>L38</f>
        <v>55000</v>
      </c>
      <c r="P13" s="66"/>
      <c r="Q13" s="26"/>
      <c r="R13" s="26"/>
      <c r="S13" s="26"/>
      <c r="T13" s="26"/>
      <c r="U13" s="26"/>
    </row>
    <row r="14" spans="2:21" ht="16.2" thickBot="1">
      <c r="J14" s="72"/>
      <c r="K14" s="72"/>
      <c r="L14" s="72"/>
      <c r="M14" s="72"/>
      <c r="N14" s="62" t="s">
        <v>7</v>
      </c>
      <c r="O14" s="63"/>
      <c r="P14" s="63"/>
      <c r="Q14" s="63"/>
      <c r="R14" s="63"/>
      <c r="S14" s="63"/>
      <c r="T14" s="63"/>
      <c r="U14" s="64"/>
    </row>
    <row r="15" spans="2:21" ht="16.2" thickBot="1">
      <c r="J15" s="72" t="s">
        <v>74</v>
      </c>
      <c r="K15" s="72"/>
      <c r="L15" s="72"/>
      <c r="M15" s="72"/>
      <c r="N15" s="22" t="s">
        <v>8</v>
      </c>
      <c r="O15" s="65"/>
      <c r="P15" s="66"/>
      <c r="Q15" s="26">
        <f>100*(1+$A$41)</f>
        <v>100</v>
      </c>
      <c r="R15" s="26">
        <f>130*(1+L41)</f>
        <v>130</v>
      </c>
      <c r="S15" s="26">
        <f>160*(1+L41)</f>
        <v>160</v>
      </c>
      <c r="T15" s="26">
        <f>100*(1+L41)</f>
        <v>100</v>
      </c>
      <c r="U15" s="26">
        <f>80*(1+L41)</f>
        <v>80</v>
      </c>
    </row>
    <row r="16" spans="2:21" ht="16.2" thickBot="1">
      <c r="J16" s="72"/>
      <c r="K16" s="72"/>
      <c r="L16" s="72"/>
      <c r="M16" s="72"/>
      <c r="N16" s="25" t="s">
        <v>9</v>
      </c>
      <c r="O16" s="65"/>
      <c r="P16" s="66"/>
      <c r="Q16" s="26">
        <f>$L$39</f>
        <v>500</v>
      </c>
      <c r="R16" s="26">
        <f t="shared" ref="R16:U16" si="0">$L$39</f>
        <v>500</v>
      </c>
      <c r="S16" s="26">
        <f t="shared" si="0"/>
        <v>500</v>
      </c>
      <c r="T16" s="26">
        <f t="shared" si="0"/>
        <v>500</v>
      </c>
      <c r="U16" s="26">
        <f t="shared" si="0"/>
        <v>500</v>
      </c>
    </row>
    <row r="17" spans="14:21" ht="16.2" thickBot="1">
      <c r="N17" s="28" t="s">
        <v>10</v>
      </c>
      <c r="O17" s="60"/>
      <c r="P17" s="61"/>
      <c r="Q17" s="29">
        <f>Q15*Q16</f>
        <v>50000</v>
      </c>
      <c r="R17" s="29">
        <f t="shared" ref="R17:U17" si="1">R15*R16</f>
        <v>65000</v>
      </c>
      <c r="S17" s="29">
        <f t="shared" si="1"/>
        <v>80000</v>
      </c>
      <c r="T17" s="29">
        <f t="shared" si="1"/>
        <v>50000</v>
      </c>
      <c r="U17" s="29">
        <f t="shared" si="1"/>
        <v>40000</v>
      </c>
    </row>
    <row r="18" spans="14:21" ht="16.2" thickBot="1">
      <c r="N18" s="25" t="s">
        <v>11</v>
      </c>
      <c r="O18" s="65"/>
      <c r="P18" s="66"/>
      <c r="Q18" s="26">
        <f>Q15*$L$40</f>
        <v>35000</v>
      </c>
      <c r="R18" s="26">
        <f t="shared" ref="R18:U18" si="2">R15*$L$40</f>
        <v>45500</v>
      </c>
      <c r="S18" s="26">
        <f t="shared" si="2"/>
        <v>56000</v>
      </c>
      <c r="T18" s="26">
        <f t="shared" si="2"/>
        <v>35000</v>
      </c>
      <c r="U18" s="26">
        <f t="shared" si="2"/>
        <v>28000</v>
      </c>
    </row>
    <row r="19" spans="14:21" ht="16.2" thickBot="1">
      <c r="N19" s="28" t="s">
        <v>12</v>
      </c>
      <c r="O19" s="60"/>
      <c r="P19" s="61"/>
      <c r="Q19" s="29">
        <v>300</v>
      </c>
      <c r="R19" s="29">
        <v>300</v>
      </c>
      <c r="S19" s="29">
        <v>300</v>
      </c>
      <c r="T19" s="29">
        <v>300</v>
      </c>
      <c r="U19" s="29">
        <v>300</v>
      </c>
    </row>
    <row r="20" spans="14:21" ht="16.2" thickBot="1">
      <c r="N20" s="28" t="s">
        <v>13</v>
      </c>
      <c r="O20" s="60"/>
      <c r="P20" s="61"/>
      <c r="Q20" s="29">
        <f>Q17-Q18-Q19</f>
        <v>14700</v>
      </c>
      <c r="R20" s="29">
        <f t="shared" ref="R20:U20" si="3">R17-R18-R19</f>
        <v>19200</v>
      </c>
      <c r="S20" s="29">
        <f t="shared" si="3"/>
        <v>23700</v>
      </c>
      <c r="T20" s="29">
        <f t="shared" si="3"/>
        <v>14700</v>
      </c>
      <c r="U20" s="29">
        <f t="shared" si="3"/>
        <v>11700</v>
      </c>
    </row>
    <row r="21" spans="14:21" ht="16.2" thickBot="1">
      <c r="N21" s="28" t="s">
        <v>14</v>
      </c>
      <c r="O21" s="60"/>
      <c r="P21" s="61"/>
      <c r="Q21" s="29">
        <f>($O$13-$U$32-$O$12)/5</f>
        <v>7000</v>
      </c>
      <c r="R21" s="29">
        <f t="shared" ref="R21:U21" si="4">($O$13-$U$32-$O$12)/5</f>
        <v>7000</v>
      </c>
      <c r="S21" s="29">
        <f t="shared" si="4"/>
        <v>7000</v>
      </c>
      <c r="T21" s="29">
        <f t="shared" si="4"/>
        <v>7000</v>
      </c>
      <c r="U21" s="29">
        <f t="shared" si="4"/>
        <v>7000</v>
      </c>
    </row>
    <row r="22" spans="14:21" ht="16.2" thickBot="1">
      <c r="N22" s="28" t="s">
        <v>15</v>
      </c>
      <c r="O22" s="60"/>
      <c r="P22" s="61"/>
      <c r="Q22" s="29">
        <f>Q20-Q21</f>
        <v>7700</v>
      </c>
      <c r="R22" s="29">
        <f>R20-R21</f>
        <v>12200</v>
      </c>
      <c r="S22" s="29">
        <f t="shared" ref="S22:U22" si="5">S20-S21</f>
        <v>16700</v>
      </c>
      <c r="T22" s="29">
        <f t="shared" si="5"/>
        <v>7700</v>
      </c>
      <c r="U22" s="29">
        <f t="shared" si="5"/>
        <v>4700</v>
      </c>
    </row>
    <row r="23" spans="14:21" ht="16.2" thickBot="1">
      <c r="N23" s="28" t="s">
        <v>16</v>
      </c>
      <c r="O23" s="60"/>
      <c r="P23" s="61"/>
      <c r="Q23" s="29">
        <f>0.2*Q22</f>
        <v>1540</v>
      </c>
      <c r="R23" s="29">
        <f>0.2*R22</f>
        <v>2440</v>
      </c>
      <c r="S23" s="29">
        <f t="shared" ref="S23:U23" si="6">0.2*S22</f>
        <v>3340</v>
      </c>
      <c r="T23" s="29">
        <f t="shared" si="6"/>
        <v>1540</v>
      </c>
      <c r="U23" s="29">
        <f t="shared" si="6"/>
        <v>940</v>
      </c>
    </row>
    <row r="24" spans="14:21" ht="16.2" thickBot="1">
      <c r="N24" s="28" t="s">
        <v>17</v>
      </c>
      <c r="O24" s="60"/>
      <c r="P24" s="61"/>
      <c r="Q24" s="29">
        <f>Q22-Q23</f>
        <v>6160</v>
      </c>
      <c r="R24" s="29">
        <f>R22-R23</f>
        <v>9760</v>
      </c>
      <c r="S24" s="29">
        <f t="shared" ref="S24:U24" si="7">S22-S23</f>
        <v>13360</v>
      </c>
      <c r="T24" s="29">
        <f t="shared" si="7"/>
        <v>6160</v>
      </c>
      <c r="U24" s="29">
        <f t="shared" si="7"/>
        <v>3760</v>
      </c>
    </row>
    <row r="25" spans="14:21" ht="16.2" thickBot="1">
      <c r="N25" s="28" t="s">
        <v>18</v>
      </c>
      <c r="O25" s="60"/>
      <c r="P25" s="61"/>
      <c r="Q25" s="29">
        <f>Q24+Q21</f>
        <v>13160</v>
      </c>
      <c r="R25" s="29">
        <f>R24+R21</f>
        <v>16760</v>
      </c>
      <c r="S25" s="29">
        <f>S24+S21</f>
        <v>20360</v>
      </c>
      <c r="T25" s="29">
        <f>T24+T21</f>
        <v>13160</v>
      </c>
      <c r="U25" s="29">
        <f>U24+U21</f>
        <v>10760</v>
      </c>
    </row>
    <row r="26" spans="14:21" ht="16.2" thickBot="1">
      <c r="N26" s="62" t="s">
        <v>19</v>
      </c>
      <c r="O26" s="63"/>
      <c r="P26" s="63"/>
      <c r="Q26" s="63"/>
      <c r="R26" s="63"/>
      <c r="S26" s="63"/>
      <c r="T26" s="63"/>
      <c r="U26" s="68"/>
    </row>
    <row r="27" spans="14:21" ht="16.2" thickBot="1">
      <c r="N27" s="31" t="s">
        <v>5</v>
      </c>
      <c r="O27" s="60"/>
      <c r="P27" s="61"/>
      <c r="Q27" s="29">
        <f>0.3*R17</f>
        <v>19500</v>
      </c>
      <c r="R27" s="29">
        <f>0.3*S17</f>
        <v>24000</v>
      </c>
      <c r="S27" s="29">
        <f>0.3*T17</f>
        <v>15000</v>
      </c>
      <c r="T27" s="29">
        <f>0.3*U17</f>
        <v>12000</v>
      </c>
      <c r="U27" s="29"/>
    </row>
    <row r="28" spans="14:21" ht="16.2" thickBot="1">
      <c r="N28" s="28" t="s">
        <v>20</v>
      </c>
      <c r="O28" s="60"/>
      <c r="P28" s="61"/>
      <c r="Q28" s="29">
        <f>Q27-O12</f>
        <v>4500</v>
      </c>
      <c r="R28" s="29">
        <f>R27-Q27</f>
        <v>4500</v>
      </c>
      <c r="S28" s="29">
        <f>S27-R27</f>
        <v>-9000</v>
      </c>
      <c r="T28" s="29">
        <f>T27-S27</f>
        <v>-3000</v>
      </c>
      <c r="U28" s="32"/>
    </row>
    <row r="29" spans="14:21" ht="16.2" thickBot="1">
      <c r="N29" s="62" t="s">
        <v>21</v>
      </c>
      <c r="O29" s="63"/>
      <c r="P29" s="63"/>
      <c r="Q29" s="63"/>
      <c r="R29" s="63"/>
      <c r="S29" s="63"/>
      <c r="T29" s="63"/>
      <c r="U29" s="68"/>
    </row>
    <row r="30" spans="14:21" ht="16.2" thickBot="1">
      <c r="N30" s="28" t="s">
        <v>22</v>
      </c>
      <c r="O30" s="60"/>
      <c r="P30" s="61"/>
      <c r="Q30" s="28">
        <v>0</v>
      </c>
      <c r="R30" s="28">
        <v>0</v>
      </c>
      <c r="S30" s="28">
        <v>0</v>
      </c>
      <c r="T30" s="28">
        <v>0</v>
      </c>
      <c r="U30" s="28">
        <v>0</v>
      </c>
    </row>
    <row r="31" spans="14:21" ht="16.2" thickBot="1">
      <c r="N31" s="62" t="s">
        <v>23</v>
      </c>
      <c r="O31" s="63"/>
      <c r="P31" s="63"/>
      <c r="Q31" s="63"/>
      <c r="R31" s="63"/>
      <c r="S31" s="63"/>
      <c r="T31" s="63"/>
      <c r="U31" s="68"/>
    </row>
    <row r="32" spans="14:21" ht="16.2" thickBot="1">
      <c r="N32" s="28" t="s">
        <v>24</v>
      </c>
      <c r="O32" s="60"/>
      <c r="P32" s="61"/>
      <c r="Q32" s="28"/>
      <c r="R32" s="28"/>
      <c r="S32" s="28"/>
      <c r="T32" s="28"/>
      <c r="U32" s="28">
        <v>5000</v>
      </c>
    </row>
    <row r="33" spans="12:21" ht="16.2" thickBot="1">
      <c r="N33" s="28" t="s">
        <v>25</v>
      </c>
      <c r="O33" s="60"/>
      <c r="P33" s="61"/>
      <c r="Q33" s="28"/>
      <c r="R33" s="28"/>
      <c r="S33" s="28"/>
      <c r="T33" s="28"/>
      <c r="U33" s="28">
        <f>T27</f>
        <v>12000</v>
      </c>
    </row>
    <row r="34" spans="12:21" ht="16.2" thickBot="1">
      <c r="N34" s="28" t="s">
        <v>26</v>
      </c>
      <c r="O34" s="60"/>
      <c r="P34" s="61"/>
      <c r="Q34" s="28"/>
      <c r="R34" s="28"/>
      <c r="S34" s="28"/>
      <c r="T34" s="28"/>
      <c r="U34" s="28">
        <f>SUM(U32:U33)</f>
        <v>17000</v>
      </c>
    </row>
    <row r="35" spans="12:21" ht="16.2" thickBot="1">
      <c r="N35" s="62" t="s">
        <v>27</v>
      </c>
      <c r="O35" s="63"/>
      <c r="P35" s="63"/>
      <c r="Q35" s="63"/>
      <c r="R35" s="63"/>
      <c r="S35" s="63"/>
      <c r="T35" s="63"/>
      <c r="U35" s="68"/>
    </row>
    <row r="36" spans="12:21" ht="16.2" thickBot="1">
      <c r="N36" s="28" t="s">
        <v>28</v>
      </c>
      <c r="O36" s="60">
        <f>-O13</f>
        <v>-55000</v>
      </c>
      <c r="P36" s="61">
        <f>-O13</f>
        <v>-55000</v>
      </c>
      <c r="Q36" s="28">
        <f>Q25-Q28</f>
        <v>8660</v>
      </c>
      <c r="R36" s="28">
        <f>R25-R28</f>
        <v>12260</v>
      </c>
      <c r="S36" s="28">
        <f>S25-S28</f>
        <v>29360</v>
      </c>
      <c r="T36" s="28">
        <f>T25-T28</f>
        <v>16160</v>
      </c>
      <c r="U36" s="28">
        <f>U25-U28+U34</f>
        <v>27760</v>
      </c>
    </row>
    <row r="37" spans="12:21" ht="28.2" customHeight="1" thickBot="1">
      <c r="L37" s="46">
        <v>0.14000000000000001</v>
      </c>
      <c r="M37" s="27" t="s">
        <v>39</v>
      </c>
      <c r="N37" s="21" t="s">
        <v>47</v>
      </c>
      <c r="O37" s="65">
        <v>1</v>
      </c>
      <c r="P37" s="66">
        <f>1/(1+$A$37)^O7</f>
        <v>1</v>
      </c>
      <c r="Q37" s="21">
        <f>1/(1+$L$37)^Q7</f>
        <v>0.8771929824561403</v>
      </c>
      <c r="R37" s="21">
        <f t="shared" ref="R37:U37" si="8">1/(1+$L$37)^R7</f>
        <v>0.76946752847029842</v>
      </c>
      <c r="S37" s="21">
        <f t="shared" si="8"/>
        <v>0.67497151620201612</v>
      </c>
      <c r="T37" s="21">
        <f t="shared" si="8"/>
        <v>0.59208027737018942</v>
      </c>
      <c r="U37" s="21">
        <f t="shared" si="8"/>
        <v>0.51936866435981521</v>
      </c>
    </row>
    <row r="38" spans="12:21" ht="33" customHeight="1" thickBot="1">
      <c r="L38" s="27">
        <f>O11+O12</f>
        <v>55000</v>
      </c>
      <c r="M38" s="27" t="s">
        <v>42</v>
      </c>
      <c r="N38" s="36" t="s">
        <v>29</v>
      </c>
      <c r="O38" s="60">
        <f>O36*O37</f>
        <v>-55000</v>
      </c>
      <c r="P38" s="61">
        <f>P36*P37</f>
        <v>-55000</v>
      </c>
      <c r="Q38" s="28">
        <f>Q36*Q37</f>
        <v>7596.4912280701747</v>
      </c>
      <c r="R38" s="28">
        <f t="shared" ref="R38:U38" si="9">R36*R37</f>
        <v>9433.6718990458594</v>
      </c>
      <c r="S38" s="28">
        <f t="shared" si="9"/>
        <v>19817.163715691193</v>
      </c>
      <c r="T38" s="28">
        <f t="shared" si="9"/>
        <v>9568.0172823022604</v>
      </c>
      <c r="U38" s="28">
        <f t="shared" si="9"/>
        <v>14417.67412262847</v>
      </c>
    </row>
    <row r="39" spans="12:21" ht="30" customHeight="1" thickBot="1">
      <c r="L39" s="27">
        <v>500</v>
      </c>
      <c r="M39" s="27" t="s">
        <v>43</v>
      </c>
      <c r="N39" s="36" t="s">
        <v>30</v>
      </c>
      <c r="O39" s="60">
        <f>O38</f>
        <v>-55000</v>
      </c>
      <c r="P39" s="61">
        <f>P38</f>
        <v>-55000</v>
      </c>
      <c r="Q39" s="28">
        <f>P39+Q38</f>
        <v>-47403.508771929824</v>
      </c>
      <c r="R39" s="28">
        <f>Q39+R38</f>
        <v>-37969.836872883963</v>
      </c>
      <c r="S39" s="28">
        <f>R39+S38</f>
        <v>-18152.67315719277</v>
      </c>
      <c r="T39" s="28">
        <f>S39+T38</f>
        <v>-8584.6558748905099</v>
      </c>
      <c r="U39" s="28">
        <f>T39+U38</f>
        <v>5833.0182477379603</v>
      </c>
    </row>
    <row r="40" spans="12:21" ht="45.6" customHeight="1" thickBot="1">
      <c r="L40" s="27">
        <v>350</v>
      </c>
      <c r="M40" s="27" t="s">
        <v>44</v>
      </c>
      <c r="N40" s="63" t="s">
        <v>31</v>
      </c>
      <c r="O40" s="63"/>
      <c r="P40" s="63"/>
      <c r="Q40" s="63"/>
      <c r="R40" s="63"/>
      <c r="S40" s="63"/>
      <c r="T40" s="63"/>
      <c r="U40" s="68"/>
    </row>
    <row r="41" spans="12:21" ht="123" customHeight="1" thickBot="1">
      <c r="L41" s="46">
        <v>0</v>
      </c>
      <c r="M41" s="27" t="s">
        <v>45</v>
      </c>
      <c r="N41" s="36" t="s">
        <v>32</v>
      </c>
      <c r="O41" s="60"/>
      <c r="P41" s="61"/>
      <c r="Q41" s="28"/>
      <c r="R41" s="28"/>
      <c r="S41" s="28"/>
      <c r="T41" s="28"/>
      <c r="U41" s="34">
        <f>U39</f>
        <v>5833.0182477379603</v>
      </c>
    </row>
    <row r="42" spans="12:21" ht="16.2" thickBot="1">
      <c r="N42" s="30" t="s">
        <v>33</v>
      </c>
      <c r="O42" s="60"/>
      <c r="P42" s="61"/>
      <c r="Q42" s="28"/>
      <c r="R42" s="28"/>
      <c r="S42" s="28"/>
      <c r="T42" s="28"/>
      <c r="U42" s="34">
        <f>IRR(P36:U36)</f>
        <v>0.17648704256766104</v>
      </c>
    </row>
    <row r="43" spans="12:21" ht="16.2" thickBot="1">
      <c r="N43" s="30" t="s">
        <v>35</v>
      </c>
      <c r="O43" s="60"/>
      <c r="P43" s="61"/>
      <c r="Q43" s="28"/>
      <c r="R43" s="28"/>
      <c r="S43" s="28"/>
      <c r="T43" s="28"/>
      <c r="U43" s="34" t="s">
        <v>36</v>
      </c>
    </row>
    <row r="44" spans="12:21" ht="16.2" thickBot="1">
      <c r="M44" s="8"/>
      <c r="N44" s="30" t="s">
        <v>37</v>
      </c>
      <c r="O44" s="60"/>
      <c r="P44" s="61"/>
      <c r="Q44" s="28"/>
      <c r="R44" s="28"/>
      <c r="S44" s="28"/>
      <c r="T44" s="28"/>
      <c r="U44" s="45">
        <f>-U39/O39</f>
        <v>0.10605487723159927</v>
      </c>
    </row>
  </sheetData>
  <dataConsolidate/>
  <mergeCells count="43">
    <mergeCell ref="B1:K2"/>
    <mergeCell ref="O7:P7"/>
    <mergeCell ref="N8:U8"/>
    <mergeCell ref="O9:P9"/>
    <mergeCell ref="O10:P10"/>
    <mergeCell ref="J3:M8"/>
    <mergeCell ref="J9:M11"/>
    <mergeCell ref="O11:P11"/>
    <mergeCell ref="O12:P12"/>
    <mergeCell ref="O13:P13"/>
    <mergeCell ref="N14:U14"/>
    <mergeCell ref="O15:P15"/>
    <mergeCell ref="O22:P22"/>
    <mergeCell ref="O23:P23"/>
    <mergeCell ref="O24:P24"/>
    <mergeCell ref="O25:P25"/>
    <mergeCell ref="O16:P16"/>
    <mergeCell ref="O17:P17"/>
    <mergeCell ref="O18:P18"/>
    <mergeCell ref="O19:P19"/>
    <mergeCell ref="O20:P20"/>
    <mergeCell ref="O44:P44"/>
    <mergeCell ref="O36:P36"/>
    <mergeCell ref="O37:P37"/>
    <mergeCell ref="O38:P38"/>
    <mergeCell ref="O39:P39"/>
    <mergeCell ref="N40:U40"/>
    <mergeCell ref="J12:M14"/>
    <mergeCell ref="J15:M16"/>
    <mergeCell ref="O41:P41"/>
    <mergeCell ref="O42:P42"/>
    <mergeCell ref="O43:P43"/>
    <mergeCell ref="N31:U31"/>
    <mergeCell ref="O32:P32"/>
    <mergeCell ref="O33:P33"/>
    <mergeCell ref="O34:P34"/>
    <mergeCell ref="N35:U35"/>
    <mergeCell ref="N26:U26"/>
    <mergeCell ref="O27:P27"/>
    <mergeCell ref="O28:P28"/>
    <mergeCell ref="N29:U29"/>
    <mergeCell ref="O30:P30"/>
    <mergeCell ref="O21:P2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V51"/>
  <sheetViews>
    <sheetView workbookViewId="0">
      <selection activeCell="D37" sqref="D37:H37"/>
    </sheetView>
  </sheetViews>
  <sheetFormatPr defaultRowHeight="14.4"/>
  <cols>
    <col min="2" max="2" width="31.5546875" customWidth="1"/>
    <col min="14" max="14" width="18.21875" customWidth="1"/>
    <col min="15" max="15" width="31.21875" customWidth="1"/>
    <col min="16" max="16" width="4.5546875" customWidth="1"/>
    <col min="17" max="17" width="6.88671875" customWidth="1"/>
  </cols>
  <sheetData>
    <row r="2" spans="2:22">
      <c r="B2" s="73" t="s">
        <v>56</v>
      </c>
      <c r="C2" s="73"/>
      <c r="D2" s="73"/>
      <c r="E2" s="73"/>
      <c r="F2" s="73"/>
      <c r="G2" s="73"/>
      <c r="H2" s="73"/>
      <c r="I2" s="73"/>
      <c r="J2" s="73"/>
      <c r="K2" s="73"/>
      <c r="L2" s="73"/>
    </row>
    <row r="3" spans="2:22">
      <c r="B3" s="73"/>
      <c r="C3" s="73"/>
      <c r="D3" s="73"/>
      <c r="E3" s="73"/>
      <c r="F3" s="73"/>
      <c r="G3" s="73"/>
      <c r="H3" s="73"/>
      <c r="I3" s="73"/>
      <c r="J3" s="73"/>
      <c r="K3" s="73"/>
      <c r="L3" s="73"/>
    </row>
    <row r="4" spans="2:22">
      <c r="B4" s="73"/>
      <c r="C4" s="73"/>
      <c r="D4" s="73"/>
      <c r="E4" s="73"/>
      <c r="F4" s="73"/>
      <c r="G4" s="73"/>
      <c r="H4" s="73"/>
      <c r="I4" s="73"/>
      <c r="J4" s="73"/>
      <c r="K4" s="73"/>
      <c r="L4" s="73"/>
    </row>
    <row r="6" spans="2:22" ht="15" customHeight="1">
      <c r="B6" s="73" t="s">
        <v>79</v>
      </c>
      <c r="C6" s="73"/>
      <c r="D6" s="73"/>
      <c r="E6" s="73"/>
      <c r="F6" s="73"/>
      <c r="G6" s="73"/>
      <c r="H6" s="73"/>
      <c r="I6" s="73"/>
      <c r="J6" s="73"/>
      <c r="K6" s="73"/>
      <c r="L6" s="73"/>
    </row>
    <row r="7" spans="2:22" ht="13.8" customHeight="1">
      <c r="B7" s="73"/>
      <c r="C7" s="73"/>
      <c r="D7" s="73"/>
      <c r="E7" s="73"/>
      <c r="F7" s="73"/>
      <c r="G7" s="73"/>
      <c r="H7" s="73"/>
      <c r="I7" s="73"/>
      <c r="J7" s="73"/>
      <c r="K7" s="73"/>
      <c r="L7" s="73"/>
    </row>
    <row r="8" spans="2:22" ht="21" customHeight="1">
      <c r="B8" s="73"/>
      <c r="C8" s="73"/>
      <c r="D8" s="73"/>
      <c r="E8" s="73"/>
      <c r="F8" s="73"/>
      <c r="G8" s="73"/>
      <c r="H8" s="73"/>
      <c r="I8" s="73"/>
      <c r="J8" s="73"/>
      <c r="K8" s="73"/>
      <c r="L8" s="73"/>
    </row>
    <row r="9" spans="2:22" ht="15" thickBot="1"/>
    <row r="10" spans="2:22" ht="16.2" thickBot="1">
      <c r="B10" s="16" t="s">
        <v>42</v>
      </c>
      <c r="C10" s="42"/>
      <c r="D10" s="16">
        <v>53000</v>
      </c>
      <c r="E10" s="16">
        <v>54000</v>
      </c>
      <c r="F10" s="18">
        <v>55000</v>
      </c>
      <c r="G10" s="16">
        <v>56000</v>
      </c>
      <c r="H10" s="16">
        <v>57000</v>
      </c>
      <c r="O10" s="23" t="s">
        <v>0</v>
      </c>
      <c r="P10" s="70">
        <v>0</v>
      </c>
      <c r="Q10" s="71"/>
      <c r="R10" s="48">
        <v>1</v>
      </c>
      <c r="S10" s="48">
        <v>2</v>
      </c>
      <c r="T10" s="48">
        <v>3</v>
      </c>
      <c r="U10" s="48">
        <v>4</v>
      </c>
      <c r="V10" s="48">
        <v>5</v>
      </c>
    </row>
    <row r="11" spans="2:22" ht="16.2" thickBot="1">
      <c r="B11" s="16" t="s">
        <v>32</v>
      </c>
      <c r="C11" s="56"/>
      <c r="D11" s="18"/>
      <c r="E11" s="18"/>
      <c r="F11" s="18"/>
      <c r="G11" s="18"/>
      <c r="H11" s="18"/>
      <c r="O11" s="62" t="s">
        <v>1</v>
      </c>
      <c r="P11" s="63"/>
      <c r="Q11" s="63"/>
      <c r="R11" s="63"/>
      <c r="S11" s="63"/>
      <c r="T11" s="63"/>
      <c r="U11" s="63"/>
      <c r="V11" s="64"/>
    </row>
    <row r="12" spans="2:22" ht="16.2" thickBot="1">
      <c r="O12" s="53"/>
      <c r="P12" s="47"/>
      <c r="Q12" s="47"/>
      <c r="R12" s="54"/>
      <c r="S12" s="54"/>
      <c r="T12" s="54"/>
      <c r="U12" s="54"/>
      <c r="V12" s="55"/>
    </row>
    <row r="13" spans="2:22" ht="16.2" thickBot="1">
      <c r="B13" s="16" t="str">
        <f>B10</f>
        <v>Первоначальные инвестиции</v>
      </c>
      <c r="C13" s="16"/>
      <c r="D13" s="16">
        <f>D10</f>
        <v>53000</v>
      </c>
      <c r="E13" s="16">
        <f t="shared" ref="E13:H13" si="0">E10</f>
        <v>54000</v>
      </c>
      <c r="F13" s="18">
        <f t="shared" si="0"/>
        <v>55000</v>
      </c>
      <c r="G13" s="16">
        <f t="shared" si="0"/>
        <v>56000</v>
      </c>
      <c r="H13" s="16">
        <f t="shared" si="0"/>
        <v>57000</v>
      </c>
      <c r="O13" s="53"/>
      <c r="P13" s="47"/>
      <c r="Q13" s="47"/>
      <c r="R13" s="54"/>
      <c r="S13" s="54"/>
      <c r="T13" s="54"/>
      <c r="U13" s="54"/>
      <c r="V13" s="55"/>
    </row>
    <row r="14" spans="2:22" ht="16.2" customHeight="1" thickBot="1">
      <c r="B14" s="16" t="s">
        <v>33</v>
      </c>
      <c r="C14" s="17"/>
      <c r="D14" s="18"/>
      <c r="E14" s="18"/>
      <c r="F14" s="18"/>
      <c r="G14" s="18"/>
      <c r="H14" s="18"/>
      <c r="J14" s="72" t="s">
        <v>75</v>
      </c>
      <c r="K14" s="72"/>
      <c r="L14" s="72"/>
      <c r="M14" s="72"/>
      <c r="N14" s="74"/>
      <c r="O14" s="28" t="s">
        <v>2</v>
      </c>
      <c r="P14" s="60">
        <v>35000</v>
      </c>
      <c r="Q14" s="61"/>
      <c r="R14" s="29"/>
      <c r="S14" s="29"/>
      <c r="T14" s="29"/>
      <c r="U14" s="29"/>
      <c r="V14" s="29"/>
    </row>
    <row r="15" spans="2:22" ht="16.2" thickBot="1">
      <c r="J15" s="72"/>
      <c r="K15" s="72"/>
      <c r="L15" s="72"/>
      <c r="M15" s="72"/>
      <c r="N15" s="74"/>
      <c r="O15" s="28" t="s">
        <v>3</v>
      </c>
      <c r="P15" s="60">
        <v>5000</v>
      </c>
      <c r="Q15" s="61"/>
      <c r="R15" s="29"/>
      <c r="S15" s="29"/>
      <c r="T15" s="29"/>
      <c r="U15" s="29"/>
      <c r="V15" s="29"/>
    </row>
    <row r="16" spans="2:22" ht="31.2" customHeight="1" thickBot="1">
      <c r="J16" s="72"/>
      <c r="K16" s="72"/>
      <c r="L16" s="72"/>
      <c r="M16" s="72"/>
      <c r="N16" s="74"/>
      <c r="O16" s="30" t="s">
        <v>4</v>
      </c>
      <c r="P16" s="60">
        <f>SUM(P14:Q15)</f>
        <v>40000</v>
      </c>
      <c r="Q16" s="61"/>
      <c r="R16" s="29"/>
      <c r="S16" s="29"/>
      <c r="T16" s="29"/>
      <c r="U16" s="29"/>
      <c r="V16" s="29"/>
    </row>
    <row r="17" spans="10:22" ht="30" customHeight="1" thickBot="1">
      <c r="J17" s="72"/>
      <c r="K17" s="72"/>
      <c r="L17" s="72"/>
      <c r="M17" s="72"/>
      <c r="N17" s="74"/>
      <c r="O17" s="30" t="s">
        <v>5</v>
      </c>
      <c r="P17" s="60">
        <v>15000</v>
      </c>
      <c r="Q17" s="61"/>
      <c r="R17" s="29"/>
      <c r="S17" s="29"/>
      <c r="T17" s="29"/>
      <c r="U17" s="29"/>
      <c r="V17" s="29"/>
    </row>
    <row r="18" spans="10:22" ht="37.200000000000003" customHeight="1" thickBot="1">
      <c r="J18" s="72"/>
      <c r="K18" s="72"/>
      <c r="L18" s="72"/>
      <c r="M18" s="72"/>
      <c r="N18" s="74"/>
      <c r="O18" s="27" t="s">
        <v>6</v>
      </c>
      <c r="P18" s="65">
        <f>M45</f>
        <v>55000</v>
      </c>
      <c r="Q18" s="66"/>
      <c r="R18" s="26"/>
      <c r="S18" s="26"/>
      <c r="T18" s="26"/>
      <c r="U18" s="26"/>
      <c r="V18" s="26"/>
    </row>
    <row r="19" spans="10:22" ht="16.2" thickBot="1">
      <c r="J19" s="72"/>
      <c r="K19" s="72"/>
      <c r="L19" s="72"/>
      <c r="M19" s="72"/>
      <c r="N19" s="74"/>
      <c r="O19" s="62" t="s">
        <v>7</v>
      </c>
      <c r="P19" s="63"/>
      <c r="Q19" s="63"/>
      <c r="R19" s="63"/>
      <c r="S19" s="63"/>
      <c r="T19" s="63"/>
      <c r="U19" s="63"/>
      <c r="V19" s="64"/>
    </row>
    <row r="20" spans="10:22" ht="16.2" customHeight="1" thickBot="1">
      <c r="J20" s="72" t="s">
        <v>76</v>
      </c>
      <c r="K20" s="72"/>
      <c r="L20" s="72"/>
      <c r="M20" s="72"/>
      <c r="N20" s="74"/>
      <c r="O20" s="22" t="s">
        <v>8</v>
      </c>
      <c r="P20" s="65"/>
      <c r="Q20" s="66"/>
      <c r="R20" s="26">
        <f>100*(1+$A$45)</f>
        <v>100</v>
      </c>
      <c r="S20" s="26">
        <f>130*(1+M48)</f>
        <v>130</v>
      </c>
      <c r="T20" s="26">
        <f>160*(1+M48)</f>
        <v>160</v>
      </c>
      <c r="U20" s="26">
        <f>100*(1+M48)</f>
        <v>100</v>
      </c>
      <c r="V20" s="26">
        <f>80*(1+M48)</f>
        <v>80</v>
      </c>
    </row>
    <row r="21" spans="10:22" ht="16.2" thickBot="1">
      <c r="J21" s="72"/>
      <c r="K21" s="72"/>
      <c r="L21" s="72"/>
      <c r="M21" s="72"/>
      <c r="N21" s="74"/>
      <c r="O21" s="25" t="s">
        <v>9</v>
      </c>
      <c r="P21" s="65"/>
      <c r="Q21" s="66"/>
      <c r="R21" s="26">
        <f>$M$46</f>
        <v>500</v>
      </c>
      <c r="S21" s="26">
        <f>$M$46</f>
        <v>500</v>
      </c>
      <c r="T21" s="26">
        <f>$M$46</f>
        <v>500</v>
      </c>
      <c r="U21" s="26">
        <f>$M$46</f>
        <v>500</v>
      </c>
      <c r="V21" s="26">
        <f>$M$46</f>
        <v>500</v>
      </c>
    </row>
    <row r="22" spans="10:22" ht="16.2" thickBot="1">
      <c r="J22" s="72"/>
      <c r="K22" s="72"/>
      <c r="L22" s="72"/>
      <c r="M22" s="72"/>
      <c r="N22" s="74"/>
      <c r="O22" s="28" t="s">
        <v>10</v>
      </c>
      <c r="P22" s="60"/>
      <c r="Q22" s="61"/>
      <c r="R22" s="29">
        <f>R20*R21</f>
        <v>50000</v>
      </c>
      <c r="S22" s="29">
        <f t="shared" ref="S22:V22" si="1">S20*S21</f>
        <v>65000</v>
      </c>
      <c r="T22" s="29">
        <f t="shared" si="1"/>
        <v>80000</v>
      </c>
      <c r="U22" s="29">
        <f t="shared" si="1"/>
        <v>50000</v>
      </c>
      <c r="V22" s="29">
        <f t="shared" si="1"/>
        <v>40000</v>
      </c>
    </row>
    <row r="23" spans="10:22" ht="16.2" customHeight="1" thickBot="1">
      <c r="J23" s="72" t="s">
        <v>77</v>
      </c>
      <c r="K23" s="72"/>
      <c r="L23" s="72"/>
      <c r="M23" s="72"/>
      <c r="N23" s="74"/>
      <c r="O23" s="25" t="s">
        <v>11</v>
      </c>
      <c r="P23" s="65"/>
      <c r="Q23" s="66"/>
      <c r="R23" s="26">
        <f>$M$47*R20</f>
        <v>35000</v>
      </c>
      <c r="S23" s="26">
        <f t="shared" ref="S23:V23" si="2">$M$47*S20</f>
        <v>45500</v>
      </c>
      <c r="T23" s="26">
        <f t="shared" si="2"/>
        <v>56000</v>
      </c>
      <c r="U23" s="26">
        <f t="shared" si="2"/>
        <v>35000</v>
      </c>
      <c r="V23" s="26">
        <f t="shared" si="2"/>
        <v>28000</v>
      </c>
    </row>
    <row r="24" spans="10:22" ht="16.2" thickBot="1">
      <c r="J24" s="72"/>
      <c r="K24" s="72"/>
      <c r="L24" s="72"/>
      <c r="M24" s="72"/>
      <c r="N24" s="74"/>
      <c r="O24" s="28" t="s">
        <v>12</v>
      </c>
      <c r="P24" s="60"/>
      <c r="Q24" s="61"/>
      <c r="R24" s="29">
        <v>300</v>
      </c>
      <c r="S24" s="29">
        <v>300</v>
      </c>
      <c r="T24" s="29">
        <v>300</v>
      </c>
      <c r="U24" s="29">
        <v>300</v>
      </c>
      <c r="V24" s="29">
        <v>300</v>
      </c>
    </row>
    <row r="25" spans="10:22" ht="16.2" thickBot="1">
      <c r="J25" s="72"/>
      <c r="K25" s="72"/>
      <c r="L25" s="72"/>
      <c r="M25" s="72"/>
      <c r="N25" s="74"/>
      <c r="O25" s="28" t="s">
        <v>13</v>
      </c>
      <c r="P25" s="60"/>
      <c r="Q25" s="61"/>
      <c r="R25" s="29">
        <f>R22-R23-R24</f>
        <v>14700</v>
      </c>
      <c r="S25" s="29">
        <f t="shared" ref="S25:V25" si="3">S22-S23-S24</f>
        <v>19200</v>
      </c>
      <c r="T25" s="29">
        <f t="shared" si="3"/>
        <v>23700</v>
      </c>
      <c r="U25" s="29">
        <f t="shared" si="3"/>
        <v>14700</v>
      </c>
      <c r="V25" s="29">
        <f t="shared" si="3"/>
        <v>11700</v>
      </c>
    </row>
    <row r="26" spans="10:22" ht="16.2" customHeight="1" thickBot="1">
      <c r="J26" s="72" t="s">
        <v>78</v>
      </c>
      <c r="K26" s="72"/>
      <c r="L26" s="72"/>
      <c r="M26" s="72"/>
      <c r="N26" s="74"/>
      <c r="O26" s="28" t="s">
        <v>14</v>
      </c>
      <c r="P26" s="60"/>
      <c r="Q26" s="61"/>
      <c r="R26" s="29">
        <f>($P$18-$V$39-$P$17)/5</f>
        <v>7000</v>
      </c>
      <c r="S26" s="29">
        <f>($P$18-$V$39-$P$17)/5</f>
        <v>7000</v>
      </c>
      <c r="T26" s="29">
        <f>($P$18-$V$39-$P$17)/5</f>
        <v>7000</v>
      </c>
      <c r="U26" s="29">
        <f>($P$18-$V$39-$P$17)/5</f>
        <v>7000</v>
      </c>
      <c r="V26" s="29">
        <f>($P$18-$V$39-$P$17)/5</f>
        <v>7000</v>
      </c>
    </row>
    <row r="27" spans="10:22" ht="16.2" thickBot="1">
      <c r="J27" s="72"/>
      <c r="K27" s="72"/>
      <c r="L27" s="72"/>
      <c r="M27" s="72"/>
      <c r="N27" s="74"/>
      <c r="O27" s="28" t="s">
        <v>15</v>
      </c>
      <c r="P27" s="60"/>
      <c r="Q27" s="61"/>
      <c r="R27" s="29">
        <f>R25-R26</f>
        <v>7700</v>
      </c>
      <c r="S27" s="29">
        <f>S25-S26</f>
        <v>12200</v>
      </c>
      <c r="T27" s="29">
        <f t="shared" ref="T27:V27" si="4">T25-T26</f>
        <v>16700</v>
      </c>
      <c r="U27" s="29">
        <f t="shared" si="4"/>
        <v>7700</v>
      </c>
      <c r="V27" s="29">
        <f t="shared" si="4"/>
        <v>4700</v>
      </c>
    </row>
    <row r="28" spans="10:22" ht="16.2" thickBot="1">
      <c r="O28" s="28" t="s">
        <v>16</v>
      </c>
      <c r="P28" s="60"/>
      <c r="Q28" s="61"/>
      <c r="R28" s="29">
        <f>0.2*R27</f>
        <v>1540</v>
      </c>
      <c r="S28" s="29">
        <f>0.2*S27</f>
        <v>2440</v>
      </c>
      <c r="T28" s="29">
        <f t="shared" ref="T28:V28" si="5">0.2*T27</f>
        <v>3340</v>
      </c>
      <c r="U28" s="29">
        <f t="shared" si="5"/>
        <v>1540</v>
      </c>
      <c r="V28" s="29">
        <f t="shared" si="5"/>
        <v>940</v>
      </c>
    </row>
    <row r="29" spans="10:22" ht="16.2" thickBot="1">
      <c r="O29" s="28" t="s">
        <v>17</v>
      </c>
      <c r="P29" s="60"/>
      <c r="Q29" s="61"/>
      <c r="R29" s="29">
        <f>R27-R28</f>
        <v>6160</v>
      </c>
      <c r="S29" s="29">
        <f>S27-S28</f>
        <v>9760</v>
      </c>
      <c r="T29" s="29">
        <f t="shared" ref="T29:V29" si="6">T27-T28</f>
        <v>13360</v>
      </c>
      <c r="U29" s="29">
        <f t="shared" si="6"/>
        <v>6160</v>
      </c>
      <c r="V29" s="29">
        <f t="shared" si="6"/>
        <v>3760</v>
      </c>
    </row>
    <row r="30" spans="10:22" ht="31.8" thickBot="1">
      <c r="O30" s="30" t="s">
        <v>18</v>
      </c>
      <c r="P30" s="60"/>
      <c r="Q30" s="61"/>
      <c r="R30" s="29">
        <f>R29+R26</f>
        <v>13160</v>
      </c>
      <c r="S30" s="29">
        <f>S29+S26</f>
        <v>16760</v>
      </c>
      <c r="T30" s="29">
        <f>T29+T26</f>
        <v>20360</v>
      </c>
      <c r="U30" s="29">
        <f>U29+U26</f>
        <v>13160</v>
      </c>
      <c r="V30" s="29">
        <f>V29+V26</f>
        <v>10760</v>
      </c>
    </row>
    <row r="31" spans="10:22" ht="16.2" thickBot="1">
      <c r="O31" s="62" t="s">
        <v>19</v>
      </c>
      <c r="P31" s="63"/>
      <c r="Q31" s="63"/>
      <c r="R31" s="63"/>
      <c r="S31" s="63"/>
      <c r="T31" s="63"/>
      <c r="U31" s="63"/>
      <c r="V31" s="68"/>
    </row>
    <row r="32" spans="10:22" ht="31.8" thickBot="1">
      <c r="O32" s="30" t="s">
        <v>5</v>
      </c>
      <c r="P32" s="60"/>
      <c r="Q32" s="61"/>
      <c r="R32" s="29">
        <f>0.3*S22</f>
        <v>19500</v>
      </c>
      <c r="S32" s="29">
        <f>0.3*T22</f>
        <v>24000</v>
      </c>
      <c r="T32" s="29">
        <f>0.3*U22</f>
        <v>15000</v>
      </c>
      <c r="U32" s="29">
        <f>0.3*V22</f>
        <v>12000</v>
      </c>
      <c r="V32" s="29"/>
    </row>
    <row r="33" spans="2:22" ht="21" customHeight="1" thickBot="1">
      <c r="B33" s="16" t="s">
        <v>8</v>
      </c>
      <c r="C33" s="16"/>
      <c r="D33" s="17">
        <v>-0.2</v>
      </c>
      <c r="E33" s="17">
        <v>-0.1</v>
      </c>
      <c r="F33" s="52">
        <v>0</v>
      </c>
      <c r="G33" s="17">
        <v>0.1</v>
      </c>
      <c r="H33" s="17">
        <v>0.2</v>
      </c>
      <c r="O33" s="30" t="s">
        <v>20</v>
      </c>
      <c r="P33" s="60"/>
      <c r="Q33" s="61"/>
      <c r="R33" s="29">
        <f>R32-P17</f>
        <v>4500</v>
      </c>
      <c r="S33" s="29">
        <f>S32-R32</f>
        <v>4500</v>
      </c>
      <c r="T33" s="29">
        <f>T32-S32</f>
        <v>-9000</v>
      </c>
      <c r="U33" s="29">
        <f>U32-T32</f>
        <v>-3000</v>
      </c>
      <c r="V33" s="32"/>
    </row>
    <row r="34" spans="2:22" ht="16.2" thickBot="1">
      <c r="B34" s="16" t="s">
        <v>32</v>
      </c>
      <c r="C34" s="16"/>
      <c r="D34" s="18"/>
      <c r="E34" s="18"/>
      <c r="F34" s="18"/>
      <c r="G34" s="18"/>
      <c r="H34" s="18"/>
      <c r="O34" s="62" t="s">
        <v>21</v>
      </c>
      <c r="P34" s="63"/>
      <c r="Q34" s="63"/>
      <c r="R34" s="63"/>
      <c r="S34" s="63"/>
      <c r="T34" s="63"/>
      <c r="U34" s="63"/>
      <c r="V34" s="68"/>
    </row>
    <row r="35" spans="2:22" ht="16.2" thickBot="1">
      <c r="O35" s="53"/>
      <c r="P35" s="47"/>
      <c r="Q35" s="47"/>
      <c r="R35" s="54"/>
      <c r="S35" s="54"/>
      <c r="T35" s="54"/>
      <c r="U35" s="54"/>
      <c r="V35" s="54"/>
    </row>
    <row r="36" spans="2:22" ht="16.2" thickBot="1">
      <c r="B36" s="16" t="s">
        <v>8</v>
      </c>
      <c r="C36" s="16"/>
      <c r="D36" s="17">
        <v>-0.2</v>
      </c>
      <c r="E36" s="17">
        <v>-0.1</v>
      </c>
      <c r="F36" s="52">
        <v>0</v>
      </c>
      <c r="G36" s="17">
        <v>0.1</v>
      </c>
      <c r="H36" s="17">
        <v>0.2</v>
      </c>
      <c r="O36" s="53"/>
      <c r="P36" s="47"/>
      <c r="Q36" s="47"/>
      <c r="R36" s="54"/>
      <c r="S36" s="54"/>
      <c r="T36" s="54"/>
      <c r="U36" s="54"/>
      <c r="V36" s="54"/>
    </row>
    <row r="37" spans="2:22" ht="15" customHeight="1" thickBot="1">
      <c r="B37" s="16" t="s">
        <v>33</v>
      </c>
      <c r="C37" s="16"/>
      <c r="D37" s="18"/>
      <c r="E37" s="18"/>
      <c r="F37" s="18"/>
      <c r="G37" s="18"/>
      <c r="H37" s="18"/>
      <c r="O37" s="30" t="s">
        <v>22</v>
      </c>
      <c r="P37" s="60"/>
      <c r="Q37" s="61"/>
      <c r="R37" s="28">
        <v>0</v>
      </c>
      <c r="S37" s="28">
        <v>0</v>
      </c>
      <c r="T37" s="28">
        <v>0</v>
      </c>
      <c r="U37" s="28">
        <v>0</v>
      </c>
      <c r="V37" s="28">
        <v>0</v>
      </c>
    </row>
    <row r="38" spans="2:22" ht="16.2" thickBot="1">
      <c r="O38" s="62" t="s">
        <v>23</v>
      </c>
      <c r="P38" s="63"/>
      <c r="Q38" s="63"/>
      <c r="R38" s="63"/>
      <c r="S38" s="63"/>
      <c r="T38" s="63"/>
      <c r="U38" s="63"/>
      <c r="V38" s="68"/>
    </row>
    <row r="39" spans="2:22" ht="16.2" thickBot="1">
      <c r="O39" s="28" t="s">
        <v>24</v>
      </c>
      <c r="P39" s="60"/>
      <c r="Q39" s="61"/>
      <c r="R39" s="28"/>
      <c r="S39" s="28"/>
      <c r="T39" s="28"/>
      <c r="U39" s="28"/>
      <c r="V39" s="28">
        <v>5000</v>
      </c>
    </row>
    <row r="40" spans="2:22" ht="16.2" thickBot="1">
      <c r="O40" s="28" t="s">
        <v>25</v>
      </c>
      <c r="P40" s="60"/>
      <c r="Q40" s="61"/>
      <c r="R40" s="28"/>
      <c r="S40" s="28"/>
      <c r="T40" s="28"/>
      <c r="U40" s="28"/>
      <c r="V40" s="28">
        <f>U32</f>
        <v>12000</v>
      </c>
    </row>
    <row r="41" spans="2:22" ht="16.2" thickBot="1">
      <c r="O41" s="28" t="s">
        <v>26</v>
      </c>
      <c r="P41" s="60"/>
      <c r="Q41" s="61"/>
      <c r="R41" s="28"/>
      <c r="S41" s="28"/>
      <c r="T41" s="28"/>
      <c r="U41" s="28"/>
      <c r="V41" s="28">
        <f>SUM(V39:V40)</f>
        <v>17000</v>
      </c>
    </row>
    <row r="42" spans="2:22" ht="16.2" thickBot="1">
      <c r="O42" s="62" t="s">
        <v>27</v>
      </c>
      <c r="P42" s="63"/>
      <c r="Q42" s="63"/>
      <c r="R42" s="63"/>
      <c r="S42" s="63"/>
      <c r="T42" s="63"/>
      <c r="U42" s="63"/>
      <c r="V42" s="68"/>
    </row>
    <row r="43" spans="2:22" ht="31.8" thickBot="1">
      <c r="O43" s="30" t="s">
        <v>28</v>
      </c>
      <c r="P43" s="60">
        <f>-P18</f>
        <v>-55000</v>
      </c>
      <c r="Q43" s="61">
        <f>-P18</f>
        <v>-55000</v>
      </c>
      <c r="R43" s="28">
        <f>R30-R33</f>
        <v>8660</v>
      </c>
      <c r="S43" s="28">
        <f>S30-S33</f>
        <v>12260</v>
      </c>
      <c r="T43" s="28">
        <f>T30-T33</f>
        <v>29360</v>
      </c>
      <c r="U43" s="28">
        <f>U30-U33</f>
        <v>16160</v>
      </c>
      <c r="V43" s="28">
        <f>V30-V33+V41</f>
        <v>27760</v>
      </c>
    </row>
    <row r="44" spans="2:22" ht="34.200000000000003" customHeight="1" thickBot="1">
      <c r="M44" s="46">
        <v>0.14000000000000001</v>
      </c>
      <c r="N44" s="27" t="s">
        <v>39</v>
      </c>
      <c r="O44" s="28" t="s">
        <v>47</v>
      </c>
      <c r="P44" s="60">
        <v>1</v>
      </c>
      <c r="Q44" s="61">
        <f>1/(1+$A$41)^P10</f>
        <v>1</v>
      </c>
      <c r="R44" s="28">
        <f>1/(1+$M$44)^R10</f>
        <v>0.8771929824561403</v>
      </c>
      <c r="S44" s="28">
        <f t="shared" ref="S44:V44" si="7">1/(1+$M$44)^S10</f>
        <v>0.76946752847029842</v>
      </c>
      <c r="T44" s="28">
        <f t="shared" si="7"/>
        <v>0.67497151620201612</v>
      </c>
      <c r="U44" s="28">
        <f t="shared" si="7"/>
        <v>0.59208027737018942</v>
      </c>
      <c r="V44" s="28">
        <f t="shared" si="7"/>
        <v>0.51936866435981521</v>
      </c>
    </row>
    <row r="45" spans="2:22" ht="37.799999999999997" customHeight="1" thickBot="1">
      <c r="M45" s="27">
        <f>P16+P17</f>
        <v>55000</v>
      </c>
      <c r="N45" s="27" t="s">
        <v>42</v>
      </c>
      <c r="O45" s="36" t="s">
        <v>29</v>
      </c>
      <c r="P45" s="60">
        <f>P43*P44</f>
        <v>-55000</v>
      </c>
      <c r="Q45" s="61">
        <f>Q43*Q44</f>
        <v>-55000</v>
      </c>
      <c r="R45" s="28">
        <f>R43*R44</f>
        <v>7596.4912280701747</v>
      </c>
      <c r="S45" s="28">
        <f t="shared" ref="S45:V45" si="8">S43*S44</f>
        <v>9433.6718990458594</v>
      </c>
      <c r="T45" s="28">
        <f t="shared" si="8"/>
        <v>19817.163715691193</v>
      </c>
      <c r="U45" s="28">
        <f t="shared" si="8"/>
        <v>9568.0172823022604</v>
      </c>
      <c r="V45" s="28">
        <f t="shared" si="8"/>
        <v>14417.67412262847</v>
      </c>
    </row>
    <row r="46" spans="2:22" ht="30.6" customHeight="1" thickBot="1">
      <c r="M46" s="27">
        <v>500</v>
      </c>
      <c r="N46" s="27" t="s">
        <v>43</v>
      </c>
      <c r="O46" s="36" t="s">
        <v>30</v>
      </c>
      <c r="P46" s="60">
        <f>P45</f>
        <v>-55000</v>
      </c>
      <c r="Q46" s="61">
        <f>Q45</f>
        <v>-55000</v>
      </c>
      <c r="R46" s="28">
        <f>Q46+R45</f>
        <v>-47403.508771929824</v>
      </c>
      <c r="S46" s="28">
        <f>R46+S45</f>
        <v>-37969.836872883963</v>
      </c>
      <c r="T46" s="28">
        <f>S46+T45</f>
        <v>-18152.67315719277</v>
      </c>
      <c r="U46" s="28">
        <f>T46+U45</f>
        <v>-8584.6558748905099</v>
      </c>
      <c r="V46" s="28">
        <f>U46+V45</f>
        <v>5833.0182477379603</v>
      </c>
    </row>
    <row r="47" spans="2:22" ht="45" customHeight="1" thickBot="1">
      <c r="M47" s="27">
        <v>350</v>
      </c>
      <c r="N47" s="27" t="s">
        <v>44</v>
      </c>
      <c r="O47" s="63" t="s">
        <v>31</v>
      </c>
      <c r="P47" s="63"/>
      <c r="Q47" s="63"/>
      <c r="R47" s="63"/>
      <c r="S47" s="63"/>
      <c r="T47" s="63"/>
      <c r="U47" s="63"/>
      <c r="V47" s="68"/>
    </row>
    <row r="48" spans="2:22" ht="129.6" customHeight="1" thickBot="1">
      <c r="M48" s="46">
        <v>0</v>
      </c>
      <c r="N48" s="27" t="s">
        <v>45</v>
      </c>
      <c r="O48" s="36" t="s">
        <v>32</v>
      </c>
      <c r="P48" s="60"/>
      <c r="Q48" s="61"/>
      <c r="R48" s="28"/>
      <c r="S48" s="28"/>
      <c r="T48" s="28"/>
      <c r="U48" s="28"/>
      <c r="V48" s="34">
        <f>V46</f>
        <v>5833.0182477379603</v>
      </c>
    </row>
    <row r="49" spans="14:22" ht="16.2" thickBot="1">
      <c r="O49" s="30" t="s">
        <v>33</v>
      </c>
      <c r="P49" s="60"/>
      <c r="Q49" s="61"/>
      <c r="R49" s="28"/>
      <c r="S49" s="28"/>
      <c r="T49" s="28"/>
      <c r="U49" s="28"/>
      <c r="V49" s="34">
        <f>IRR(Q43:V43)</f>
        <v>0.17648704256766104</v>
      </c>
    </row>
    <row r="50" spans="14:22" ht="16.2" thickBot="1">
      <c r="O50" s="30" t="s">
        <v>35</v>
      </c>
      <c r="P50" s="60"/>
      <c r="Q50" s="61"/>
      <c r="R50" s="28"/>
      <c r="S50" s="28"/>
      <c r="T50" s="28"/>
      <c r="U50" s="28"/>
      <c r="V50" s="34" t="s">
        <v>36</v>
      </c>
    </row>
    <row r="51" spans="14:22" ht="16.2" thickBot="1">
      <c r="N51" s="8"/>
      <c r="O51" s="30" t="s">
        <v>37</v>
      </c>
      <c r="P51" s="60"/>
      <c r="Q51" s="61"/>
      <c r="R51" s="28"/>
      <c r="S51" s="28"/>
      <c r="T51" s="28"/>
      <c r="U51" s="28"/>
      <c r="V51" s="45">
        <f>-V46/P46</f>
        <v>0.10605487723159927</v>
      </c>
    </row>
  </sheetData>
  <mergeCells count="44">
    <mergeCell ref="B2:L4"/>
    <mergeCell ref="B6:L8"/>
    <mergeCell ref="P10:Q10"/>
    <mergeCell ref="O11:V11"/>
    <mergeCell ref="P14:Q14"/>
    <mergeCell ref="P15:Q15"/>
    <mergeCell ref="P16:Q16"/>
    <mergeCell ref="P17:Q17"/>
    <mergeCell ref="P18:Q18"/>
    <mergeCell ref="O19:V19"/>
    <mergeCell ref="P26:Q26"/>
    <mergeCell ref="P27:Q27"/>
    <mergeCell ref="P28:Q28"/>
    <mergeCell ref="P29:Q29"/>
    <mergeCell ref="P20:Q20"/>
    <mergeCell ref="P21:Q21"/>
    <mergeCell ref="P22:Q22"/>
    <mergeCell ref="P23:Q23"/>
    <mergeCell ref="P24:Q24"/>
    <mergeCell ref="P48:Q48"/>
    <mergeCell ref="P49:Q49"/>
    <mergeCell ref="P50:Q50"/>
    <mergeCell ref="P51:Q51"/>
    <mergeCell ref="O42:V42"/>
    <mergeCell ref="P43:Q43"/>
    <mergeCell ref="P44:Q44"/>
    <mergeCell ref="P45:Q45"/>
    <mergeCell ref="P46:Q46"/>
    <mergeCell ref="J14:N19"/>
    <mergeCell ref="J20:N22"/>
    <mergeCell ref="J23:N25"/>
    <mergeCell ref="J26:N27"/>
    <mergeCell ref="O47:V47"/>
    <mergeCell ref="P37:Q37"/>
    <mergeCell ref="O38:V38"/>
    <mergeCell ref="P39:Q39"/>
    <mergeCell ref="P40:Q40"/>
    <mergeCell ref="P41:Q41"/>
    <mergeCell ref="P30:Q30"/>
    <mergeCell ref="O31:V31"/>
    <mergeCell ref="P32:Q32"/>
    <mergeCell ref="P33:Q33"/>
    <mergeCell ref="O34:V34"/>
    <mergeCell ref="P25:Q2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2:U53"/>
  <sheetViews>
    <sheetView tabSelected="1" workbookViewId="0">
      <selection activeCell="D17" sqref="D17"/>
    </sheetView>
  </sheetViews>
  <sheetFormatPr defaultRowHeight="14.4"/>
  <cols>
    <col min="3" max="3" width="32.44140625" customWidth="1"/>
    <col min="4" max="4" width="11.44140625" customWidth="1"/>
    <col min="5" max="5" width="12.33203125" customWidth="1"/>
    <col min="6" max="6" width="12.5546875" customWidth="1"/>
    <col min="7" max="7" width="12.88671875" customWidth="1"/>
    <col min="8" max="8" width="11.44140625" customWidth="1"/>
    <col min="12" max="12" width="18.109375" customWidth="1"/>
    <col min="13" max="13" width="41.77734375" customWidth="1"/>
  </cols>
  <sheetData>
    <row r="2" spans="3:20" ht="45" customHeight="1">
      <c r="C2" s="73" t="s">
        <v>82</v>
      </c>
      <c r="D2" s="73"/>
      <c r="E2" s="73"/>
      <c r="F2" s="73"/>
      <c r="G2" s="73"/>
      <c r="H2" s="73"/>
    </row>
    <row r="3" spans="3:20" ht="47.25" customHeight="1">
      <c r="C3" s="73"/>
      <c r="D3" s="73"/>
      <c r="E3" s="73"/>
      <c r="F3" s="73"/>
      <c r="G3" s="73"/>
      <c r="H3" s="73"/>
    </row>
    <row r="5" spans="3:20" ht="15" customHeight="1" thickBot="1">
      <c r="C5" s="19"/>
      <c r="D5" s="19" t="s">
        <v>57</v>
      </c>
      <c r="E5" s="19" t="s">
        <v>58</v>
      </c>
      <c r="F5" s="19" t="s">
        <v>59</v>
      </c>
      <c r="G5" s="19" t="s">
        <v>60</v>
      </c>
      <c r="H5" s="19" t="s">
        <v>61</v>
      </c>
      <c r="I5" s="72" t="s">
        <v>83</v>
      </c>
      <c r="J5" s="72"/>
      <c r="K5" s="72"/>
      <c r="L5" s="72"/>
    </row>
    <row r="6" spans="3:20" ht="15" customHeight="1" thickBot="1">
      <c r="C6" s="16" t="s">
        <v>49</v>
      </c>
      <c r="D6" s="17">
        <v>0.15</v>
      </c>
      <c r="E6" s="17">
        <v>0.15</v>
      </c>
      <c r="F6" s="17">
        <v>0.4</v>
      </c>
      <c r="G6" s="17">
        <v>0.15</v>
      </c>
      <c r="H6" s="17">
        <v>0.15</v>
      </c>
      <c r="I6" s="72"/>
      <c r="J6" s="72"/>
      <c r="K6" s="72"/>
      <c r="L6" s="72"/>
      <c r="M6" s="23" t="s">
        <v>0</v>
      </c>
      <c r="N6" s="70">
        <v>0</v>
      </c>
      <c r="O6" s="71"/>
      <c r="P6" s="48">
        <v>1</v>
      </c>
      <c r="Q6" s="48">
        <v>2</v>
      </c>
      <c r="R6" s="48">
        <v>3</v>
      </c>
      <c r="S6" s="48">
        <v>4</v>
      </c>
      <c r="T6" s="48">
        <v>5</v>
      </c>
    </row>
    <row r="7" spans="3:20" ht="15" customHeight="1" thickBot="1">
      <c r="C7" s="16" t="s">
        <v>46</v>
      </c>
      <c r="D7" s="17">
        <v>0.18</v>
      </c>
      <c r="E7" s="17">
        <v>0.16</v>
      </c>
      <c r="F7" s="17">
        <v>0.14000000000000001</v>
      </c>
      <c r="G7" s="17">
        <v>0.13</v>
      </c>
      <c r="H7" s="17">
        <v>0.12</v>
      </c>
      <c r="I7" s="72"/>
      <c r="J7" s="72"/>
      <c r="K7" s="72"/>
      <c r="L7" s="72"/>
      <c r="M7" s="62" t="s">
        <v>1</v>
      </c>
      <c r="N7" s="63"/>
      <c r="O7" s="63"/>
      <c r="P7" s="63"/>
      <c r="Q7" s="63"/>
      <c r="R7" s="63"/>
      <c r="S7" s="63"/>
      <c r="T7" s="64"/>
    </row>
    <row r="8" spans="3:20" ht="15" customHeight="1" thickBot="1">
      <c r="C8" s="16" t="s">
        <v>42</v>
      </c>
      <c r="D8" s="16">
        <v>60000</v>
      </c>
      <c r="E8" s="16">
        <v>58000</v>
      </c>
      <c r="F8" s="16">
        <v>55000</v>
      </c>
      <c r="G8" s="16">
        <v>55000</v>
      </c>
      <c r="H8" s="16">
        <v>55000</v>
      </c>
      <c r="I8" s="72"/>
      <c r="J8" s="72"/>
      <c r="K8" s="72"/>
      <c r="L8" s="72"/>
      <c r="M8" s="28" t="s">
        <v>2</v>
      </c>
      <c r="N8" s="60">
        <v>35000</v>
      </c>
      <c r="O8" s="61"/>
      <c r="P8" s="29"/>
      <c r="Q8" s="29"/>
      <c r="R8" s="29"/>
      <c r="S8" s="29"/>
      <c r="T8" s="29"/>
    </row>
    <row r="9" spans="3:20" ht="15" customHeight="1" thickBot="1">
      <c r="C9" s="16" t="s">
        <v>43</v>
      </c>
      <c r="D9" s="16">
        <v>450</v>
      </c>
      <c r="E9" s="16">
        <v>480</v>
      </c>
      <c r="F9" s="16">
        <v>500</v>
      </c>
      <c r="G9" s="16">
        <v>520</v>
      </c>
      <c r="H9" s="16">
        <v>540</v>
      </c>
      <c r="I9" s="76" t="s">
        <v>84</v>
      </c>
      <c r="J9" s="77"/>
      <c r="K9" s="77"/>
      <c r="L9" s="74"/>
      <c r="M9" s="28" t="s">
        <v>3</v>
      </c>
      <c r="N9" s="60">
        <v>5000</v>
      </c>
      <c r="O9" s="61"/>
      <c r="P9" s="29"/>
      <c r="Q9" s="29"/>
      <c r="R9" s="29"/>
      <c r="S9" s="29"/>
      <c r="T9" s="29"/>
    </row>
    <row r="10" spans="3:20" ht="15" customHeight="1" thickBot="1">
      <c r="C10" s="16" t="s">
        <v>44</v>
      </c>
      <c r="D10" s="16">
        <v>400</v>
      </c>
      <c r="E10" s="16">
        <v>370</v>
      </c>
      <c r="F10" s="16">
        <v>350</v>
      </c>
      <c r="G10" s="16">
        <v>350</v>
      </c>
      <c r="H10" s="16">
        <v>350</v>
      </c>
      <c r="I10" s="76"/>
      <c r="J10" s="77"/>
      <c r="K10" s="77"/>
      <c r="L10" s="74"/>
      <c r="M10" s="30" t="s">
        <v>4</v>
      </c>
      <c r="N10" s="60">
        <f>SUM(N8:O9)</f>
        <v>40000</v>
      </c>
      <c r="O10" s="61"/>
      <c r="P10" s="29"/>
      <c r="Q10" s="29"/>
      <c r="R10" s="29"/>
      <c r="S10" s="29"/>
      <c r="T10" s="29"/>
    </row>
    <row r="11" spans="3:20" ht="63.75" customHeight="1" thickBot="1">
      <c r="C11" s="20" t="s">
        <v>45</v>
      </c>
      <c r="D11" s="17">
        <v>-0.1</v>
      </c>
      <c r="E11" s="17">
        <v>-0.05</v>
      </c>
      <c r="F11" s="16">
        <v>0</v>
      </c>
      <c r="G11" s="17">
        <v>0.05</v>
      </c>
      <c r="H11" s="17">
        <v>0.1</v>
      </c>
      <c r="I11" s="76"/>
      <c r="J11" s="77"/>
      <c r="K11" s="77"/>
      <c r="L11" s="74"/>
      <c r="M11" s="30" t="s">
        <v>5</v>
      </c>
      <c r="N11" s="60">
        <v>15000</v>
      </c>
      <c r="O11" s="61"/>
      <c r="P11" s="29"/>
      <c r="Q11" s="29"/>
      <c r="R11" s="29"/>
      <c r="S11" s="29"/>
      <c r="T11" s="29"/>
    </row>
    <row r="12" spans="3:20" ht="34.799999999999997" customHeight="1" thickBot="1">
      <c r="I12" s="76" t="s">
        <v>85</v>
      </c>
      <c r="J12" s="77"/>
      <c r="K12" s="77"/>
      <c r="L12" s="74"/>
      <c r="M12" s="27" t="s">
        <v>6</v>
      </c>
      <c r="N12" s="65">
        <f>K37</f>
        <v>55000</v>
      </c>
      <c r="O12" s="66"/>
      <c r="P12" s="26"/>
      <c r="Q12" s="26"/>
      <c r="R12" s="26"/>
      <c r="S12" s="26"/>
      <c r="T12" s="26"/>
    </row>
    <row r="13" spans="3:20" ht="16.2" thickBot="1">
      <c r="C13" s="67" t="s">
        <v>87</v>
      </c>
      <c r="D13" s="67"/>
      <c r="E13" s="67"/>
      <c r="F13" s="67"/>
      <c r="G13" s="67"/>
      <c r="H13" s="75"/>
      <c r="I13" s="76"/>
      <c r="J13" s="77"/>
      <c r="K13" s="77"/>
      <c r="L13" s="74"/>
      <c r="M13" s="62" t="s">
        <v>7</v>
      </c>
      <c r="N13" s="63"/>
      <c r="O13" s="63"/>
      <c r="P13" s="63"/>
      <c r="Q13" s="63"/>
      <c r="R13" s="63"/>
      <c r="S13" s="63"/>
      <c r="T13" s="64"/>
    </row>
    <row r="14" spans="3:20" ht="16.2" thickBot="1">
      <c r="C14" s="20" t="s">
        <v>32</v>
      </c>
      <c r="D14" s="59"/>
      <c r="E14" s="59"/>
      <c r="F14" s="59"/>
      <c r="G14" s="59"/>
      <c r="H14" s="59"/>
      <c r="I14" s="76"/>
      <c r="J14" s="77"/>
      <c r="K14" s="77"/>
      <c r="L14" s="74"/>
      <c r="M14" s="22" t="s">
        <v>8</v>
      </c>
      <c r="N14" s="65"/>
      <c r="O14" s="66"/>
      <c r="P14" s="26">
        <f>100*(1+Изменение_объема_продаж__изменение_в_процентах_для_каждого_периода_на_одинаковое_количество_процентов)</f>
        <v>110.00000000000001</v>
      </c>
      <c r="Q14" s="26">
        <f>130*(1+Изменение_объема_продаж__изменение_в_процентах_для_каждого_периода_на_одинаковое_количество_процентов)</f>
        <v>143</v>
      </c>
      <c r="R14" s="26">
        <f>160*(1+K40)</f>
        <v>176</v>
      </c>
      <c r="S14" s="26">
        <f>100*(1+K40)</f>
        <v>110.00000000000001</v>
      </c>
      <c r="T14" s="26">
        <f>80*(1+K40)</f>
        <v>88</v>
      </c>
    </row>
    <row r="15" spans="3:20" ht="16.2" customHeight="1" thickBot="1">
      <c r="I15" s="76" t="s">
        <v>86</v>
      </c>
      <c r="J15" s="77"/>
      <c r="K15" s="77"/>
      <c r="L15" s="74"/>
      <c r="M15" s="25" t="s">
        <v>9</v>
      </c>
      <c r="N15" s="65"/>
      <c r="O15" s="66"/>
      <c r="P15" s="26">
        <f>$K$38</f>
        <v>540</v>
      </c>
      <c r="Q15" s="26">
        <f t="shared" ref="Q15:T15" si="0">$K$38</f>
        <v>540</v>
      </c>
      <c r="R15" s="26">
        <f t="shared" si="0"/>
        <v>540</v>
      </c>
      <c r="S15" s="26">
        <f t="shared" si="0"/>
        <v>540</v>
      </c>
      <c r="T15" s="26">
        <f t="shared" si="0"/>
        <v>540</v>
      </c>
    </row>
    <row r="16" spans="3:20" ht="23.25" customHeight="1" thickBot="1">
      <c r="C16" s="37"/>
      <c r="F16">
        <f>SUMPRODUCT(D14:H14,D6:H6)</f>
        <v>0</v>
      </c>
      <c r="I16" s="76"/>
      <c r="J16" s="77"/>
      <c r="K16" s="77"/>
      <c r="L16" s="74"/>
      <c r="M16" s="25" t="s">
        <v>10</v>
      </c>
      <c r="N16" s="81"/>
      <c r="O16" s="82"/>
      <c r="P16" s="25">
        <f>P14*P15</f>
        <v>59400.000000000007</v>
      </c>
      <c r="Q16" s="25">
        <f t="shared" ref="Q16:T16" si="1">Q14*Q15</f>
        <v>77220</v>
      </c>
      <c r="R16" s="25">
        <f t="shared" si="1"/>
        <v>95040</v>
      </c>
      <c r="S16" s="25">
        <f t="shared" si="1"/>
        <v>59400.000000000007</v>
      </c>
      <c r="T16" s="25">
        <f t="shared" si="1"/>
        <v>47520</v>
      </c>
    </row>
    <row r="17" spans="3:20" ht="23.25" customHeight="1" thickBot="1">
      <c r="C17" s="37"/>
      <c r="D17">
        <f>D14-$F$16</f>
        <v>0</v>
      </c>
      <c r="E17">
        <f t="shared" ref="E17:G17" si="2">E14-$F$16</f>
        <v>0</v>
      </c>
      <c r="F17">
        <f>F14-$F$16</f>
        <v>0</v>
      </c>
      <c r="G17">
        <f t="shared" si="2"/>
        <v>0</v>
      </c>
      <c r="H17">
        <f>H14-$F$16</f>
        <v>0</v>
      </c>
      <c r="I17" s="76"/>
      <c r="J17" s="77"/>
      <c r="K17" s="77"/>
      <c r="L17" s="74"/>
      <c r="M17" s="25" t="s">
        <v>11</v>
      </c>
      <c r="N17" s="65"/>
      <c r="O17" s="66"/>
      <c r="P17" s="26">
        <f>$K$39*P14</f>
        <v>38500.000000000007</v>
      </c>
      <c r="Q17" s="26">
        <f t="shared" ref="Q17:T17" si="3">$K$39*Q14</f>
        <v>50050</v>
      </c>
      <c r="R17" s="26">
        <f t="shared" si="3"/>
        <v>61600</v>
      </c>
      <c r="S17" s="26">
        <f t="shared" si="3"/>
        <v>38500.000000000007</v>
      </c>
      <c r="T17" s="26">
        <f t="shared" si="3"/>
        <v>30800</v>
      </c>
    </row>
    <row r="18" spans="3:20" ht="23.25" customHeight="1" thickBot="1">
      <c r="C18" s="37"/>
      <c r="D18">
        <f>D17*D17</f>
        <v>0</v>
      </c>
      <c r="E18">
        <f t="shared" ref="E18:H18" si="4">E17*E17</f>
        <v>0</v>
      </c>
      <c r="F18">
        <f>F17*F17</f>
        <v>0</v>
      </c>
      <c r="G18">
        <f t="shared" si="4"/>
        <v>0</v>
      </c>
      <c r="H18">
        <f t="shared" si="4"/>
        <v>0</v>
      </c>
      <c r="I18" s="76"/>
      <c r="J18" s="77"/>
      <c r="K18" s="77"/>
      <c r="L18" s="74"/>
      <c r="M18" s="28" t="s">
        <v>12</v>
      </c>
      <c r="N18" s="60"/>
      <c r="O18" s="61"/>
      <c r="P18" s="29">
        <v>300</v>
      </c>
      <c r="Q18" s="29">
        <v>300</v>
      </c>
      <c r="R18" s="29">
        <v>300</v>
      </c>
      <c r="S18" s="29">
        <v>300</v>
      </c>
      <c r="T18" s="29">
        <v>300</v>
      </c>
    </row>
    <row r="19" spans="3:20" ht="23.25" customHeight="1" thickBot="1">
      <c r="C19" s="37"/>
      <c r="I19" s="76"/>
      <c r="J19" s="77"/>
      <c r="K19" s="77"/>
      <c r="L19" s="74"/>
      <c r="M19" s="28" t="s">
        <v>13</v>
      </c>
      <c r="N19" s="60"/>
      <c r="O19" s="61"/>
      <c r="P19" s="29">
        <f>P16-P17-P18</f>
        <v>20600</v>
      </c>
      <c r="Q19" s="29">
        <f t="shared" ref="Q19:T19" si="5">Q16-Q17-Q18</f>
        <v>26870</v>
      </c>
      <c r="R19" s="29">
        <f t="shared" si="5"/>
        <v>33140</v>
      </c>
      <c r="S19" s="29">
        <f t="shared" si="5"/>
        <v>20600</v>
      </c>
      <c r="T19" s="29">
        <f t="shared" si="5"/>
        <v>16420</v>
      </c>
    </row>
    <row r="20" spans="3:20" ht="30" customHeight="1" thickBot="1">
      <c r="C20" s="20" t="s">
        <v>63</v>
      </c>
      <c r="D20" s="15">
        <f>F16</f>
        <v>0</v>
      </c>
      <c r="M20" s="28" t="s">
        <v>14</v>
      </c>
      <c r="N20" s="60"/>
      <c r="O20" s="61"/>
      <c r="P20" s="29">
        <f>($N$12-$N$11-$T$31)/5</f>
        <v>7000</v>
      </c>
      <c r="Q20" s="29">
        <f t="shared" ref="Q20:T20" si="6">($N$12-$N$11-$T$31)/5</f>
        <v>7000</v>
      </c>
      <c r="R20" s="29">
        <f t="shared" si="6"/>
        <v>7000</v>
      </c>
      <c r="S20" s="29">
        <f t="shared" si="6"/>
        <v>7000</v>
      </c>
      <c r="T20" s="29">
        <f t="shared" si="6"/>
        <v>7000</v>
      </c>
    </row>
    <row r="21" spans="3:20" ht="23.25" customHeight="1" thickBot="1">
      <c r="C21" s="37"/>
      <c r="M21" s="28" t="s">
        <v>15</v>
      </c>
      <c r="N21" s="60"/>
      <c r="O21" s="61"/>
      <c r="P21" s="29">
        <f>P19-P20</f>
        <v>13600</v>
      </c>
      <c r="Q21" s="29">
        <f>Q19-Q20</f>
        <v>19870</v>
      </c>
      <c r="R21" s="29">
        <f t="shared" ref="R21:T21" si="7">R19-R20</f>
        <v>26140</v>
      </c>
      <c r="S21" s="29">
        <f t="shared" si="7"/>
        <v>13600</v>
      </c>
      <c r="T21" s="29">
        <f t="shared" si="7"/>
        <v>9420</v>
      </c>
    </row>
    <row r="22" spans="3:20" ht="16.2" thickBot="1">
      <c r="F22" s="12"/>
      <c r="M22" s="28" t="s">
        <v>16</v>
      </c>
      <c r="N22" s="60"/>
      <c r="O22" s="61"/>
      <c r="P22" s="29">
        <f>0.2*P21</f>
        <v>2720</v>
      </c>
      <c r="Q22" s="29">
        <f>0.2*Q21</f>
        <v>3974</v>
      </c>
      <c r="R22" s="29">
        <f t="shared" ref="R22:T22" si="8">0.2*R21</f>
        <v>5228</v>
      </c>
      <c r="S22" s="29">
        <f t="shared" si="8"/>
        <v>2720</v>
      </c>
      <c r="T22" s="29">
        <f t="shared" si="8"/>
        <v>1884</v>
      </c>
    </row>
    <row r="23" spans="3:20" ht="17.399999999999999" customHeight="1" thickBot="1">
      <c r="F23" s="12"/>
      <c r="M23" s="28" t="s">
        <v>17</v>
      </c>
      <c r="N23" s="60"/>
      <c r="O23" s="61"/>
      <c r="P23" s="29">
        <f>P21-P22</f>
        <v>10880</v>
      </c>
      <c r="Q23" s="29">
        <f>Q21-Q22</f>
        <v>15896</v>
      </c>
      <c r="R23" s="29">
        <f t="shared" ref="R23:T23" si="9">R21-R22</f>
        <v>20912</v>
      </c>
      <c r="S23" s="29">
        <f t="shared" si="9"/>
        <v>10880</v>
      </c>
      <c r="T23" s="29">
        <f t="shared" si="9"/>
        <v>7536</v>
      </c>
    </row>
    <row r="24" spans="3:20" ht="19.8" customHeight="1" thickBot="1">
      <c r="C24" s="20" t="s">
        <v>64</v>
      </c>
      <c r="D24" s="15">
        <f>(SUMPRODUCT(D18:H18,D6:H6))^0.5</f>
        <v>0</v>
      </c>
      <c r="F24" s="11"/>
      <c r="M24" s="28" t="s">
        <v>18</v>
      </c>
      <c r="N24" s="60"/>
      <c r="O24" s="61"/>
      <c r="P24" s="29">
        <f>P23+P20</f>
        <v>17880</v>
      </c>
      <c r="Q24" s="29">
        <f>Q23+Q20</f>
        <v>22896</v>
      </c>
      <c r="R24" s="29">
        <f>R23+R20</f>
        <v>27912</v>
      </c>
      <c r="S24" s="29">
        <f>S23+S20</f>
        <v>17880</v>
      </c>
      <c r="T24" s="29">
        <f>T23+T20</f>
        <v>14536</v>
      </c>
    </row>
    <row r="25" spans="3:20" ht="16.2" thickBot="1">
      <c r="F25" s="11"/>
      <c r="M25" s="62" t="s">
        <v>19</v>
      </c>
      <c r="N25" s="63"/>
      <c r="O25" s="63"/>
      <c r="P25" s="63"/>
      <c r="Q25" s="63"/>
      <c r="R25" s="63"/>
      <c r="S25" s="63"/>
      <c r="T25" s="68"/>
    </row>
    <row r="26" spans="3:20" ht="16.2" thickBot="1">
      <c r="C26" t="s">
        <v>65</v>
      </c>
      <c r="M26" s="31" t="s">
        <v>5</v>
      </c>
      <c r="N26" s="60"/>
      <c r="O26" s="61"/>
      <c r="P26" s="29">
        <f>0.3*Q16</f>
        <v>23166</v>
      </c>
      <c r="Q26" s="29">
        <f>0.3*R16</f>
        <v>28512</v>
      </c>
      <c r="R26" s="29">
        <f>0.3*S16</f>
        <v>17820</v>
      </c>
      <c r="S26" s="29">
        <f>0.3*T16</f>
        <v>14256</v>
      </c>
      <c r="T26" s="29"/>
    </row>
    <row r="27" spans="3:20" ht="16.2" thickBot="1">
      <c r="M27" s="28" t="s">
        <v>20</v>
      </c>
      <c r="N27" s="60"/>
      <c r="O27" s="61"/>
      <c r="P27" s="29">
        <f>P26-N11</f>
        <v>8166</v>
      </c>
      <c r="Q27" s="29">
        <f>Q26-P26</f>
        <v>5346</v>
      </c>
      <c r="R27" s="29">
        <f>R26-Q26</f>
        <v>-10692</v>
      </c>
      <c r="S27" s="29">
        <f>S26-R26</f>
        <v>-3564</v>
      </c>
      <c r="T27" s="32"/>
    </row>
    <row r="28" spans="3:20" ht="16.2" thickBot="1">
      <c r="C28" s="78" t="s">
        <v>66</v>
      </c>
      <c r="D28" s="79"/>
      <c r="E28" s="79"/>
      <c r="F28" s="79"/>
      <c r="G28" s="80"/>
      <c r="M28" s="62" t="s">
        <v>21</v>
      </c>
      <c r="N28" s="63"/>
      <c r="O28" s="63"/>
      <c r="P28" s="63"/>
      <c r="Q28" s="63"/>
      <c r="R28" s="63"/>
      <c r="S28" s="63"/>
      <c r="T28" s="68"/>
    </row>
    <row r="29" spans="3:20" ht="16.2" thickBot="1">
      <c r="M29" s="28" t="s">
        <v>22</v>
      </c>
      <c r="N29" s="60"/>
      <c r="O29" s="61"/>
      <c r="P29" s="28">
        <v>0</v>
      </c>
      <c r="Q29" s="28">
        <v>0</v>
      </c>
      <c r="R29" s="28">
        <v>0</v>
      </c>
      <c r="S29" s="28">
        <v>0</v>
      </c>
      <c r="T29" s="28">
        <v>0</v>
      </c>
    </row>
    <row r="30" spans="3:20" ht="16.2" thickBot="1">
      <c r="M30" s="62" t="s">
        <v>23</v>
      </c>
      <c r="N30" s="63"/>
      <c r="O30" s="63"/>
      <c r="P30" s="63"/>
      <c r="Q30" s="63"/>
      <c r="R30" s="63"/>
      <c r="S30" s="63"/>
      <c r="T30" s="68"/>
    </row>
    <row r="31" spans="3:20" ht="16.2" thickBot="1">
      <c r="C31" s="78" t="s">
        <v>81</v>
      </c>
      <c r="D31" s="79"/>
      <c r="E31" s="79"/>
      <c r="F31" s="79"/>
      <c r="G31" s="80"/>
      <c r="M31" s="28" t="s">
        <v>24</v>
      </c>
      <c r="N31" s="60"/>
      <c r="O31" s="61"/>
      <c r="P31" s="28"/>
      <c r="Q31" s="28"/>
      <c r="R31" s="28"/>
      <c r="S31" s="28"/>
      <c r="T31" s="28">
        <v>5000</v>
      </c>
    </row>
    <row r="32" spans="3:20" ht="16.2" thickBot="1">
      <c r="M32" s="28" t="s">
        <v>25</v>
      </c>
      <c r="N32" s="60"/>
      <c r="O32" s="61"/>
      <c r="P32" s="28"/>
      <c r="Q32" s="28"/>
      <c r="R32" s="28"/>
      <c r="S32" s="28"/>
      <c r="T32" s="28">
        <f>S26</f>
        <v>14256</v>
      </c>
    </row>
    <row r="33" spans="1:21" ht="16.2" thickBot="1">
      <c r="M33" s="28" t="s">
        <v>26</v>
      </c>
      <c r="N33" s="60"/>
      <c r="O33" s="61"/>
      <c r="P33" s="28"/>
      <c r="Q33" s="28"/>
      <c r="R33" s="28"/>
      <c r="S33" s="28"/>
      <c r="T33" s="28">
        <f>SUM(T31:T32)</f>
        <v>19256</v>
      </c>
    </row>
    <row r="34" spans="1:21" ht="16.2" thickBot="1">
      <c r="A34" s="38" t="s">
        <v>67</v>
      </c>
      <c r="B34" s="38"/>
      <c r="C34" s="38"/>
      <c r="D34" s="38"/>
      <c r="E34" s="38"/>
      <c r="F34" s="38"/>
      <c r="G34" s="38"/>
      <c r="H34" s="38"/>
      <c r="I34" s="38"/>
      <c r="J34" s="38"/>
      <c r="M34" s="62" t="s">
        <v>27</v>
      </c>
      <c r="N34" s="63"/>
      <c r="O34" s="63"/>
      <c r="P34" s="63"/>
      <c r="Q34" s="63"/>
      <c r="R34" s="63"/>
      <c r="S34" s="63"/>
      <c r="T34" s="68"/>
    </row>
    <row r="35" spans="1:21" ht="16.2" thickBot="1">
      <c r="M35" s="28" t="s">
        <v>28</v>
      </c>
      <c r="N35" s="60">
        <f>-N12</f>
        <v>-55000</v>
      </c>
      <c r="O35" s="61">
        <f>-N12</f>
        <v>-55000</v>
      </c>
      <c r="P35" s="28">
        <f>P24-P27</f>
        <v>9714</v>
      </c>
      <c r="Q35" s="28">
        <f>Q24-Q27</f>
        <v>17550</v>
      </c>
      <c r="R35" s="28">
        <f>R24-R27</f>
        <v>38604</v>
      </c>
      <c r="S35" s="28">
        <f>S24-S27</f>
        <v>21444</v>
      </c>
      <c r="T35" s="28">
        <f>T24-T27+T33</f>
        <v>33792</v>
      </c>
    </row>
    <row r="36" spans="1:21" ht="31.2" customHeight="1" thickBot="1">
      <c r="K36" s="46">
        <v>0.12</v>
      </c>
      <c r="L36" s="27" t="s">
        <v>39</v>
      </c>
      <c r="M36" s="28" t="s">
        <v>47</v>
      </c>
      <c r="N36" s="60">
        <v>1</v>
      </c>
      <c r="O36" s="61">
        <f>1/(1+$A$37)^N6</f>
        <v>1</v>
      </c>
      <c r="P36" s="28">
        <f>1/(1+$K$36)^P6</f>
        <v>0.89285714285714279</v>
      </c>
      <c r="Q36" s="28">
        <f t="shared" ref="Q36:T36" si="10">1/(1+$K$36)^Q6</f>
        <v>0.79719387755102034</v>
      </c>
      <c r="R36" s="28">
        <f t="shared" si="10"/>
        <v>0.71178024781341087</v>
      </c>
      <c r="S36" s="28">
        <f t="shared" si="10"/>
        <v>0.63551807840483121</v>
      </c>
      <c r="T36" s="28">
        <f t="shared" si="10"/>
        <v>0.56742685571859919</v>
      </c>
    </row>
    <row r="37" spans="1:21" ht="39.6" customHeight="1" thickBot="1">
      <c r="K37" s="27">
        <v>55000</v>
      </c>
      <c r="L37" s="27" t="s">
        <v>42</v>
      </c>
      <c r="M37" s="36" t="s">
        <v>29</v>
      </c>
      <c r="N37" s="60">
        <f>N35*N36</f>
        <v>-55000</v>
      </c>
      <c r="O37" s="61">
        <f>O35*O36</f>
        <v>-55000</v>
      </c>
      <c r="P37" s="28">
        <f>P35*P36</f>
        <v>8673.2142857142844</v>
      </c>
      <c r="Q37" s="28">
        <f t="shared" ref="Q37:T37" si="11">Q35*Q36</f>
        <v>13990.752551020407</v>
      </c>
      <c r="R37" s="28">
        <f t="shared" si="11"/>
        <v>27477.564686588914</v>
      </c>
      <c r="S37" s="28">
        <f t="shared" si="11"/>
        <v>13628.0496733132</v>
      </c>
      <c r="T37" s="28">
        <f t="shared" si="11"/>
        <v>19174.488308442902</v>
      </c>
    </row>
    <row r="38" spans="1:21" ht="21.6" customHeight="1" thickBot="1">
      <c r="K38" s="27">
        <v>540</v>
      </c>
      <c r="L38" s="27" t="s">
        <v>43</v>
      </c>
      <c r="M38" s="36" t="s">
        <v>30</v>
      </c>
      <c r="N38" s="60">
        <f>N37</f>
        <v>-55000</v>
      </c>
      <c r="O38" s="61">
        <f>O37</f>
        <v>-55000</v>
      </c>
      <c r="P38" s="28">
        <f>O38+P37</f>
        <v>-46326.785714285717</v>
      </c>
      <c r="Q38" s="28">
        <f>P38+Q37</f>
        <v>-32336.033163265311</v>
      </c>
      <c r="R38" s="28">
        <f>Q38+R37</f>
        <v>-4858.4684766763967</v>
      </c>
      <c r="S38" s="28">
        <f>R38+S37</f>
        <v>8769.5811966368037</v>
      </c>
      <c r="T38" s="28">
        <f>S38+T37</f>
        <v>27944.069505079708</v>
      </c>
    </row>
    <row r="39" spans="1:21" ht="45" customHeight="1" thickBot="1">
      <c r="K39" s="27">
        <v>350</v>
      </c>
      <c r="L39" s="27" t="s">
        <v>44</v>
      </c>
      <c r="M39" s="63" t="s">
        <v>31</v>
      </c>
      <c r="N39" s="63"/>
      <c r="O39" s="63"/>
      <c r="P39" s="63"/>
      <c r="Q39" s="63"/>
      <c r="R39" s="63"/>
      <c r="S39" s="63"/>
      <c r="T39" s="68"/>
    </row>
    <row r="40" spans="1:21" ht="123.6" customHeight="1" thickBot="1">
      <c r="K40" s="46">
        <v>0.1</v>
      </c>
      <c r="L40" s="27" t="s">
        <v>45</v>
      </c>
      <c r="M40" s="36" t="s">
        <v>32</v>
      </c>
      <c r="N40" s="60"/>
      <c r="O40" s="61"/>
      <c r="P40" s="28"/>
      <c r="Q40" s="28"/>
      <c r="R40" s="28"/>
      <c r="S40" s="28"/>
      <c r="T40" s="34">
        <f>T38</f>
        <v>27944.069505079708</v>
      </c>
      <c r="U40" t="str">
        <f>M40</f>
        <v>NPV</v>
      </c>
    </row>
    <row r="41" spans="1:21" ht="16.2" thickBot="1">
      <c r="M41" s="30" t="s">
        <v>33</v>
      </c>
      <c r="N41" s="60"/>
      <c r="O41" s="61"/>
      <c r="P41" s="28"/>
      <c r="Q41" s="28"/>
      <c r="R41" s="28"/>
      <c r="S41" s="28"/>
      <c r="T41" s="34">
        <f>IRR(O35:T35)</f>
        <v>0.27639940194051921</v>
      </c>
      <c r="U41" t="str">
        <f t="shared" ref="U41:U43" si="12">M41</f>
        <v>IRR</v>
      </c>
    </row>
    <row r="42" spans="1:21" ht="16.2" thickBot="1">
      <c r="M42" s="30" t="s">
        <v>35</v>
      </c>
      <c r="N42" s="60"/>
      <c r="O42" s="61"/>
      <c r="P42" s="28"/>
      <c r="Q42" s="28"/>
      <c r="R42" s="28"/>
      <c r="S42" s="28"/>
      <c r="T42" s="34" t="s">
        <v>36</v>
      </c>
      <c r="U42" t="str">
        <f t="shared" si="12"/>
        <v>MIRR</v>
      </c>
    </row>
    <row r="43" spans="1:21" ht="16.2" thickBot="1">
      <c r="L43" s="8"/>
      <c r="M43" s="30" t="s">
        <v>37</v>
      </c>
      <c r="N43" s="60"/>
      <c r="O43" s="61"/>
      <c r="P43" s="28"/>
      <c r="Q43" s="28"/>
      <c r="R43" s="28"/>
      <c r="S43" s="28"/>
      <c r="T43" s="45">
        <f>-T38/N38</f>
        <v>0.50807399100144923</v>
      </c>
      <c r="U43" t="str">
        <f t="shared" si="12"/>
        <v>PI</v>
      </c>
    </row>
    <row r="52" spans="7:11">
      <c r="G52" s="57"/>
      <c r="H52" s="57"/>
      <c r="I52" s="57"/>
      <c r="J52" s="57"/>
      <c r="K52" s="57"/>
    </row>
    <row r="53" spans="7:11">
      <c r="G53" s="58"/>
      <c r="H53" s="58"/>
      <c r="I53" s="58"/>
      <c r="J53" s="58"/>
      <c r="K53" s="58"/>
    </row>
  </sheetData>
  <scenarios current="3" sqref="T40:T43">
    <scenario name="сценарий 1" locked="1" count="5" user="Ирина" comment="Автор: Ирина , 29.09.2018&#10;Автор изменений: Ирина , 29.09.2018">
      <inputCells r="K36" val="0,18" numFmtId="9"/>
      <inputCells r="K37" val="60000"/>
      <inputCells r="K38" val="450"/>
      <inputCells r="K39" val="400"/>
      <inputCells r="K40" val="-0,1" numFmtId="9"/>
    </scenario>
    <scenario name="сценарий 2" locked="1" count="5" user="Ирина" comment="Автор: Ирина , 29.09.2018&#10;Автор изменений: Ирина , 29.09.2018">
      <inputCells r="K36" val="0,16" numFmtId="9"/>
      <inputCells r="K37" val="58000"/>
      <inputCells r="K38" val="480"/>
      <inputCells r="K39" val="370"/>
      <inputCells r="K40" val="-0,05" numFmtId="9"/>
    </scenario>
    <scenario name="сценарий 3" locked="1" count="5" user="Ирина" comment="Автор: Ирина , 29.09.2018&#10;Автор изменений: Ирина , 29.09.2018">
      <inputCells r="K36" val="0,14" numFmtId="9"/>
      <inputCells r="K37" val="55000"/>
      <inputCells r="K38" val="500"/>
      <inputCells r="K39" val="350"/>
      <inputCells r="K40" val="0" numFmtId="9"/>
    </scenario>
    <scenario name="сценарий 4" locked="1" count="5" user="Ирина" comment="Автор: Ирина , 29.09.2018&#10;Автор изменений: Ирина , 29.09.2018">
      <inputCells r="K36" val="0,13" numFmtId="9"/>
      <inputCells r="K37" val="55000"/>
      <inputCells r="K38" val="520"/>
      <inputCells r="K39" val="350"/>
      <inputCells r="K40" val="0,05" numFmtId="9"/>
    </scenario>
  </scenarios>
  <mergeCells count="46">
    <mergeCell ref="C2:H3"/>
    <mergeCell ref="C31:G31"/>
    <mergeCell ref="C28:G28"/>
    <mergeCell ref="N6:O6"/>
    <mergeCell ref="M7:T7"/>
    <mergeCell ref="N8:O8"/>
    <mergeCell ref="N9:O9"/>
    <mergeCell ref="N10:O10"/>
    <mergeCell ref="N11:O11"/>
    <mergeCell ref="N12:O12"/>
    <mergeCell ref="M13:T13"/>
    <mergeCell ref="N14:O14"/>
    <mergeCell ref="N15:O15"/>
    <mergeCell ref="N16:O16"/>
    <mergeCell ref="N17:O17"/>
    <mergeCell ref="N18:O18"/>
    <mergeCell ref="N19:O19"/>
    <mergeCell ref="N20:O20"/>
    <mergeCell ref="N21:O21"/>
    <mergeCell ref="N22:O22"/>
    <mergeCell ref="N23:O23"/>
    <mergeCell ref="N24:O24"/>
    <mergeCell ref="M25:T25"/>
    <mergeCell ref="N26:O26"/>
    <mergeCell ref="N27:O27"/>
    <mergeCell ref="M28:T28"/>
    <mergeCell ref="N29:O29"/>
    <mergeCell ref="M30:T30"/>
    <mergeCell ref="N31:O31"/>
    <mergeCell ref="N32:O32"/>
    <mergeCell ref="N33:O33"/>
    <mergeCell ref="M34:T34"/>
    <mergeCell ref="N35:O35"/>
    <mergeCell ref="N36:O36"/>
    <mergeCell ref="N37:O37"/>
    <mergeCell ref="N38:O38"/>
    <mergeCell ref="M39:T39"/>
    <mergeCell ref="N40:O40"/>
    <mergeCell ref="N41:O41"/>
    <mergeCell ref="N42:O42"/>
    <mergeCell ref="N43:O43"/>
    <mergeCell ref="C13:H13"/>
    <mergeCell ref="I15:L19"/>
    <mergeCell ref="I5:L8"/>
    <mergeCell ref="I9:L11"/>
    <mergeCell ref="I12:L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B2:L556"/>
  <sheetViews>
    <sheetView topLeftCell="E537" workbookViewId="0">
      <selection activeCell="L556" sqref="L556"/>
    </sheetView>
  </sheetViews>
  <sheetFormatPr defaultRowHeight="14.4"/>
  <cols>
    <col min="2" max="2" width="53.5546875" customWidth="1"/>
    <col min="3" max="3" width="19" customWidth="1"/>
    <col min="5" max="5" width="24.109375" customWidth="1"/>
    <col min="12" max="12" width="22.33203125" customWidth="1"/>
  </cols>
  <sheetData>
    <row r="2" spans="2:9" ht="42" customHeight="1">
      <c r="B2" s="83" t="s">
        <v>70</v>
      </c>
      <c r="C2" s="83"/>
      <c r="D2" s="83"/>
      <c r="E2" s="83"/>
      <c r="F2" s="83"/>
      <c r="G2" s="83"/>
      <c r="H2" s="83"/>
      <c r="I2" s="83"/>
    </row>
    <row r="3" spans="2:9" ht="42.75" customHeight="1">
      <c r="B3" s="83"/>
      <c r="C3" s="83"/>
      <c r="D3" s="83"/>
      <c r="E3" s="83"/>
      <c r="F3" s="83"/>
      <c r="G3" s="83"/>
      <c r="H3" s="83"/>
      <c r="I3" s="83"/>
    </row>
    <row r="4" spans="2:9" ht="40.5" customHeight="1">
      <c r="B4" s="83"/>
      <c r="C4" s="83"/>
      <c r="D4" s="83"/>
      <c r="E4" s="83"/>
      <c r="F4" s="83"/>
      <c r="G4" s="83"/>
      <c r="H4" s="83"/>
      <c r="I4" s="83"/>
    </row>
    <row r="5" spans="2:9" ht="15" thickBot="1"/>
    <row r="6" spans="2:9" ht="16.2" thickBot="1">
      <c r="B6" s="1" t="s">
        <v>0</v>
      </c>
      <c r="C6" s="87">
        <v>0</v>
      </c>
      <c r="D6" s="90"/>
      <c r="E6" s="2">
        <v>1</v>
      </c>
      <c r="F6" s="2">
        <v>2</v>
      </c>
      <c r="G6" s="2">
        <v>3</v>
      </c>
      <c r="H6" s="2">
        <v>4</v>
      </c>
      <c r="I6" s="2">
        <v>5</v>
      </c>
    </row>
    <row r="7" spans="2:9" ht="16.2" thickBot="1">
      <c r="B7" s="87" t="s">
        <v>1</v>
      </c>
      <c r="C7" s="88"/>
      <c r="D7" s="88"/>
      <c r="E7" s="88"/>
      <c r="F7" s="88"/>
      <c r="G7" s="88"/>
      <c r="H7" s="88"/>
      <c r="I7" s="90"/>
    </row>
    <row r="8" spans="2:9" ht="16.2" thickBot="1">
      <c r="B8" s="3" t="s">
        <v>2</v>
      </c>
      <c r="C8" s="85">
        <v>35000</v>
      </c>
      <c r="D8" s="86"/>
      <c r="E8" s="4"/>
      <c r="F8" s="4"/>
      <c r="G8" s="4"/>
      <c r="H8" s="4"/>
      <c r="I8" s="4"/>
    </row>
    <row r="9" spans="2:9" ht="16.2" thickBot="1">
      <c r="B9" s="3" t="s">
        <v>3</v>
      </c>
      <c r="C9" s="85">
        <v>5000</v>
      </c>
      <c r="D9" s="86"/>
      <c r="E9" s="4"/>
      <c r="F9" s="4"/>
      <c r="G9" s="4"/>
      <c r="H9" s="4"/>
      <c r="I9" s="4"/>
    </row>
    <row r="10" spans="2:9" ht="15.75" customHeight="1" thickBot="1">
      <c r="B10" s="5" t="s">
        <v>4</v>
      </c>
      <c r="C10" s="85">
        <v>40000</v>
      </c>
      <c r="D10" s="86"/>
      <c r="E10" s="4"/>
      <c r="F10" s="4"/>
      <c r="G10" s="4"/>
      <c r="H10" s="4"/>
      <c r="I10" s="4"/>
    </row>
    <row r="11" spans="2:9" ht="16.5" customHeight="1" thickBot="1">
      <c r="B11" s="5" t="s">
        <v>5</v>
      </c>
      <c r="C11" s="85">
        <v>15000</v>
      </c>
      <c r="D11" s="86"/>
      <c r="E11" s="4"/>
      <c r="F11" s="4"/>
      <c r="G11" s="4"/>
      <c r="H11" s="4"/>
      <c r="I11" s="4"/>
    </row>
    <row r="12" spans="2:9" ht="19.5" customHeight="1" thickBot="1">
      <c r="B12" s="5" t="s">
        <v>6</v>
      </c>
      <c r="C12" s="85">
        <f>C10+C11</f>
        <v>55000</v>
      </c>
      <c r="D12" s="86"/>
      <c r="E12" s="4"/>
      <c r="F12" s="4"/>
      <c r="G12" s="4"/>
      <c r="H12" s="4"/>
      <c r="I12" s="4"/>
    </row>
    <row r="13" spans="2:9" ht="16.2" thickBot="1">
      <c r="B13" s="87" t="s">
        <v>7</v>
      </c>
      <c r="C13" s="88"/>
      <c r="D13" s="88"/>
      <c r="E13" s="88"/>
      <c r="F13" s="88"/>
      <c r="G13" s="88"/>
      <c r="H13" s="90"/>
      <c r="I13" s="4"/>
    </row>
    <row r="14" spans="2:9" ht="16.2" thickBot="1">
      <c r="B14" s="33" t="s">
        <v>8</v>
      </c>
      <c r="C14" s="85"/>
      <c r="D14" s="86"/>
      <c r="E14" s="6">
        <f>'1.Исходные данные'!F15</f>
        <v>100</v>
      </c>
      <c r="F14" s="6">
        <f>'1.Исходные данные'!G15</f>
        <v>130</v>
      </c>
      <c r="G14" s="6">
        <f>'1.Исходные данные'!H15</f>
        <v>160</v>
      </c>
      <c r="H14" s="6">
        <f>'1.Исходные данные'!I15</f>
        <v>100</v>
      </c>
      <c r="I14" s="6">
        <f>'1.Исходные данные'!J15</f>
        <v>80</v>
      </c>
    </row>
    <row r="15" spans="2:9" ht="16.2" thickBot="1">
      <c r="B15" s="33" t="s">
        <v>9</v>
      </c>
      <c r="C15" s="85"/>
      <c r="D15" s="86"/>
      <c r="E15" s="7">
        <f>500</f>
        <v>500</v>
      </c>
      <c r="F15" s="7">
        <f>500</f>
        <v>500</v>
      </c>
      <c r="G15" s="7">
        <f>500</f>
        <v>500</v>
      </c>
      <c r="H15" s="7">
        <f>500</f>
        <v>500</v>
      </c>
      <c r="I15" s="7">
        <f>500</f>
        <v>500</v>
      </c>
    </row>
    <row r="16" spans="2:9" ht="16.2" thickBot="1">
      <c r="B16" s="33" t="s">
        <v>10</v>
      </c>
      <c r="C16" s="85"/>
      <c r="D16" s="86"/>
      <c r="E16" s="7">
        <f>E14*E15</f>
        <v>50000</v>
      </c>
      <c r="F16" s="7">
        <f t="shared" ref="F16:I16" si="0">F14*F15</f>
        <v>65000</v>
      </c>
      <c r="G16" s="7">
        <f t="shared" si="0"/>
        <v>80000</v>
      </c>
      <c r="H16" s="7">
        <f t="shared" si="0"/>
        <v>50000</v>
      </c>
      <c r="I16" s="7">
        <f t="shared" si="0"/>
        <v>40000</v>
      </c>
    </row>
    <row r="17" spans="2:9" ht="16.2" thickBot="1">
      <c r="B17" s="33" t="s">
        <v>11</v>
      </c>
      <c r="C17" s="85"/>
      <c r="D17" s="86"/>
      <c r="E17" s="7">
        <f>350*'5.Имитационное моделирование'!E14</f>
        <v>35000</v>
      </c>
      <c r="F17" s="7">
        <f>350*'5.Имитационное моделирование'!F14</f>
        <v>45500</v>
      </c>
      <c r="G17" s="7">
        <f>350*'5.Имитационное моделирование'!G14</f>
        <v>56000</v>
      </c>
      <c r="H17" s="7">
        <f>350*'5.Имитационное моделирование'!H14</f>
        <v>35000</v>
      </c>
      <c r="I17" s="7">
        <f>350*'5.Имитационное моделирование'!I14</f>
        <v>28000</v>
      </c>
    </row>
    <row r="18" spans="2:9" ht="16.2" thickBot="1">
      <c r="B18" s="33" t="s">
        <v>12</v>
      </c>
      <c r="C18" s="85"/>
      <c r="D18" s="86"/>
      <c r="E18" s="7">
        <v>300</v>
      </c>
      <c r="F18" s="7">
        <v>300</v>
      </c>
      <c r="G18" s="7">
        <v>300</v>
      </c>
      <c r="H18" s="7">
        <v>300</v>
      </c>
      <c r="I18" s="7">
        <v>300</v>
      </c>
    </row>
    <row r="19" spans="2:9" ht="16.2" thickBot="1">
      <c r="B19" s="33" t="s">
        <v>13</v>
      </c>
      <c r="C19" s="85"/>
      <c r="D19" s="86"/>
      <c r="E19" s="7">
        <f>E16-E17-E18</f>
        <v>14700</v>
      </c>
      <c r="F19" s="7">
        <f t="shared" ref="F19:I19" si="1">F16-F17-F18</f>
        <v>19200</v>
      </c>
      <c r="G19" s="7">
        <f t="shared" si="1"/>
        <v>23700</v>
      </c>
      <c r="H19" s="7">
        <f t="shared" si="1"/>
        <v>14700</v>
      </c>
      <c r="I19" s="7">
        <f t="shared" si="1"/>
        <v>11700</v>
      </c>
    </row>
    <row r="20" spans="2:9" ht="16.2" thickBot="1">
      <c r="B20" s="33" t="s">
        <v>14</v>
      </c>
      <c r="C20" s="85"/>
      <c r="D20" s="86"/>
      <c r="E20" s="7">
        <v>7000</v>
      </c>
      <c r="F20" s="7">
        <v>7000</v>
      </c>
      <c r="G20" s="7">
        <v>7000</v>
      </c>
      <c r="H20" s="7">
        <v>7000</v>
      </c>
      <c r="I20" s="7">
        <v>7000</v>
      </c>
    </row>
    <row r="21" spans="2:9" ht="16.2" thickBot="1">
      <c r="B21" s="33" t="s">
        <v>15</v>
      </c>
      <c r="C21" s="85"/>
      <c r="D21" s="86"/>
      <c r="E21" s="7">
        <f>E19-E20</f>
        <v>7700</v>
      </c>
      <c r="F21" s="7">
        <f>F19-F20</f>
        <v>12200</v>
      </c>
      <c r="G21" s="7">
        <f>G19-G20</f>
        <v>16700</v>
      </c>
      <c r="H21" s="7">
        <f>H19-H20</f>
        <v>7700</v>
      </c>
      <c r="I21" s="7">
        <f>I19-I20</f>
        <v>4700</v>
      </c>
    </row>
    <row r="22" spans="2:9" ht="16.2" thickBot="1">
      <c r="B22" s="33" t="s">
        <v>16</v>
      </c>
      <c r="C22" s="85"/>
      <c r="D22" s="86"/>
      <c r="E22" s="7">
        <f>0.2*E21</f>
        <v>1540</v>
      </c>
      <c r="F22" s="7">
        <f t="shared" ref="F22:I22" si="2">0.2*F21</f>
        <v>2440</v>
      </c>
      <c r="G22" s="7">
        <f t="shared" si="2"/>
        <v>3340</v>
      </c>
      <c r="H22" s="7">
        <f t="shared" si="2"/>
        <v>1540</v>
      </c>
      <c r="I22" s="7">
        <f t="shared" si="2"/>
        <v>940</v>
      </c>
    </row>
    <row r="23" spans="2:9" ht="16.2" thickBot="1">
      <c r="B23" s="33" t="s">
        <v>17</v>
      </c>
      <c r="C23" s="85"/>
      <c r="D23" s="86"/>
      <c r="E23" s="7">
        <f>E21-E22</f>
        <v>6160</v>
      </c>
      <c r="F23" s="7">
        <f>F21-F22</f>
        <v>9760</v>
      </c>
      <c r="G23" s="7">
        <f t="shared" ref="G23:I23" si="3">G21-G22</f>
        <v>13360</v>
      </c>
      <c r="H23" s="7">
        <f t="shared" si="3"/>
        <v>6160</v>
      </c>
      <c r="I23" s="7">
        <f t="shared" si="3"/>
        <v>3760</v>
      </c>
    </row>
    <row r="24" spans="2:9" ht="16.2" thickBot="1">
      <c r="B24" s="14" t="s">
        <v>18</v>
      </c>
      <c r="C24" s="85"/>
      <c r="D24" s="86"/>
      <c r="E24" s="7">
        <f>E23+E20</f>
        <v>13160</v>
      </c>
      <c r="F24" s="7">
        <f>F23+F20</f>
        <v>16760</v>
      </c>
      <c r="G24" s="7">
        <f>G23+G20</f>
        <v>20360</v>
      </c>
      <c r="H24" s="7">
        <f>H23+H20</f>
        <v>13160</v>
      </c>
      <c r="I24" s="7">
        <f>I23+I20</f>
        <v>10760</v>
      </c>
    </row>
    <row r="25" spans="2:9" ht="16.2" thickBot="1">
      <c r="B25" s="87" t="s">
        <v>19</v>
      </c>
      <c r="C25" s="88"/>
      <c r="D25" s="88"/>
      <c r="E25" s="88"/>
      <c r="F25" s="88"/>
      <c r="G25" s="88"/>
      <c r="H25" s="88"/>
      <c r="I25" s="89"/>
    </row>
    <row r="26" spans="2:9" ht="16.2" thickBot="1">
      <c r="B26" s="33" t="s">
        <v>5</v>
      </c>
      <c r="C26" s="85"/>
      <c r="D26" s="86"/>
      <c r="E26" s="7">
        <v>19500</v>
      </c>
      <c r="F26" s="7">
        <v>24000</v>
      </c>
      <c r="G26" s="7">
        <v>15000</v>
      </c>
      <c r="H26" s="7">
        <v>12000</v>
      </c>
      <c r="I26" s="4"/>
    </row>
    <row r="27" spans="2:9" ht="16.2" thickBot="1">
      <c r="B27" s="33" t="s">
        <v>20</v>
      </c>
      <c r="C27" s="85"/>
      <c r="D27" s="86"/>
      <c r="E27" s="7">
        <v>4500</v>
      </c>
      <c r="F27" s="7">
        <v>4500</v>
      </c>
      <c r="G27" s="7">
        <v>-9000</v>
      </c>
      <c r="H27" s="7">
        <v>-3000</v>
      </c>
      <c r="I27" s="9"/>
    </row>
    <row r="28" spans="2:9" ht="16.2" thickBot="1">
      <c r="B28" s="87" t="s">
        <v>21</v>
      </c>
      <c r="C28" s="88"/>
      <c r="D28" s="88"/>
      <c r="E28" s="88"/>
      <c r="F28" s="88"/>
      <c r="G28" s="88"/>
      <c r="H28" s="88"/>
      <c r="I28" s="89"/>
    </row>
    <row r="29" spans="2:9" ht="16.2" thickBot="1">
      <c r="B29" s="33" t="s">
        <v>22</v>
      </c>
      <c r="C29" s="85"/>
      <c r="D29" s="86"/>
      <c r="E29" s="33">
        <v>0</v>
      </c>
      <c r="F29" s="33">
        <v>0</v>
      </c>
      <c r="G29" s="33">
        <v>0</v>
      </c>
      <c r="H29" s="33">
        <v>0</v>
      </c>
      <c r="I29" s="33">
        <v>0</v>
      </c>
    </row>
    <row r="30" spans="2:9" ht="16.2" thickBot="1">
      <c r="B30" s="33" t="s">
        <v>23</v>
      </c>
      <c r="C30" s="85"/>
      <c r="D30" s="86"/>
      <c r="E30" s="33"/>
      <c r="F30" s="33"/>
      <c r="G30" s="33"/>
      <c r="H30" s="33"/>
      <c r="I30" s="33"/>
    </row>
    <row r="31" spans="2:9" ht="16.2" thickBot="1">
      <c r="B31" s="33" t="s">
        <v>24</v>
      </c>
      <c r="C31" s="85"/>
      <c r="D31" s="86"/>
      <c r="E31" s="4"/>
      <c r="F31" s="4"/>
      <c r="G31" s="4"/>
      <c r="H31" s="4"/>
      <c r="I31" s="7">
        <v>5000</v>
      </c>
    </row>
    <row r="32" spans="2:9" ht="16.2" thickBot="1">
      <c r="B32" s="33" t="s">
        <v>25</v>
      </c>
      <c r="C32" s="85"/>
      <c r="D32" s="86"/>
      <c r="E32" s="4"/>
      <c r="F32" s="4"/>
      <c r="G32" s="4"/>
      <c r="H32" s="4"/>
      <c r="I32" s="7">
        <v>12000</v>
      </c>
    </row>
    <row r="33" spans="2:9" ht="16.2" thickBot="1">
      <c r="B33" s="33" t="s">
        <v>26</v>
      </c>
      <c r="C33" s="85"/>
      <c r="D33" s="86"/>
      <c r="E33" s="4"/>
      <c r="F33" s="4"/>
      <c r="G33" s="4"/>
      <c r="H33" s="4"/>
      <c r="I33" s="7">
        <v>17000</v>
      </c>
    </row>
    <row r="34" spans="2:9" ht="16.2" thickBot="1">
      <c r="B34" s="87" t="s">
        <v>27</v>
      </c>
      <c r="C34" s="88"/>
      <c r="D34" s="88"/>
      <c r="E34" s="88"/>
      <c r="F34" s="88"/>
      <c r="G34" s="88"/>
      <c r="H34" s="88"/>
      <c r="I34" s="89"/>
    </row>
    <row r="35" spans="2:9" ht="16.2" thickBot="1">
      <c r="B35" s="33" t="s">
        <v>28</v>
      </c>
      <c r="C35" s="85"/>
      <c r="D35" s="86">
        <f>-C12</f>
        <v>-55000</v>
      </c>
      <c r="E35" s="7">
        <f>E24-E27</f>
        <v>8660</v>
      </c>
      <c r="F35" s="7">
        <f t="shared" ref="F35:H35" si="4">F24-F27</f>
        <v>12260</v>
      </c>
      <c r="G35" s="7">
        <f t="shared" si="4"/>
        <v>29360</v>
      </c>
      <c r="H35" s="7">
        <f t="shared" si="4"/>
        <v>16160</v>
      </c>
      <c r="I35" s="7">
        <f>I24-I27+I33</f>
        <v>27760</v>
      </c>
    </row>
    <row r="36" spans="2:9" ht="16.2" thickBot="1">
      <c r="B36" s="33" t="s">
        <v>47</v>
      </c>
      <c r="C36" s="85"/>
      <c r="D36" s="86">
        <f>1/(1+$A$36)^C6</f>
        <v>1</v>
      </c>
      <c r="E36" s="7">
        <f>1/(1+$A$36)^E6</f>
        <v>1</v>
      </c>
      <c r="F36" s="7">
        <f t="shared" ref="F36:I36" si="5">1/(1+$A$36)^F6</f>
        <v>1</v>
      </c>
      <c r="G36" s="7">
        <f t="shared" si="5"/>
        <v>1</v>
      </c>
      <c r="H36" s="7">
        <f t="shared" si="5"/>
        <v>1</v>
      </c>
      <c r="I36" s="7">
        <f t="shared" si="5"/>
        <v>1</v>
      </c>
    </row>
    <row r="37" spans="2:9" ht="33.75" customHeight="1" thickBot="1">
      <c r="B37" s="14" t="s">
        <v>29</v>
      </c>
      <c r="C37" s="85"/>
      <c r="D37" s="86">
        <f t="shared" ref="D37:I37" si="6">D35*D36</f>
        <v>-55000</v>
      </c>
      <c r="E37" s="7">
        <f t="shared" si="6"/>
        <v>8660</v>
      </c>
      <c r="F37" s="7">
        <f t="shared" si="6"/>
        <v>12260</v>
      </c>
      <c r="G37" s="7">
        <f t="shared" si="6"/>
        <v>29360</v>
      </c>
      <c r="H37" s="7">
        <f t="shared" si="6"/>
        <v>16160</v>
      </c>
      <c r="I37" s="7">
        <f t="shared" si="6"/>
        <v>27760</v>
      </c>
    </row>
    <row r="38" spans="2:9" ht="16.2" thickBot="1">
      <c r="B38" s="33" t="s">
        <v>30</v>
      </c>
      <c r="C38" s="85"/>
      <c r="D38" s="86">
        <f>D37</f>
        <v>-55000</v>
      </c>
      <c r="E38" s="10">
        <f>D38+E37</f>
        <v>-46340</v>
      </c>
      <c r="F38" s="10">
        <f>E38+F37</f>
        <v>-34080</v>
      </c>
      <c r="G38" s="10">
        <f>F38+G37</f>
        <v>-4720</v>
      </c>
      <c r="H38" s="10">
        <f>G38+H37</f>
        <v>11440</v>
      </c>
      <c r="I38" s="10">
        <f>H38+I37</f>
        <v>39200</v>
      </c>
    </row>
    <row r="39" spans="2:9" ht="16.2" thickBot="1">
      <c r="B39" s="87" t="s">
        <v>31</v>
      </c>
      <c r="C39" s="88"/>
      <c r="D39" s="88"/>
      <c r="E39" s="88"/>
      <c r="F39" s="88"/>
      <c r="G39" s="88"/>
      <c r="H39" s="88"/>
      <c r="I39" s="89"/>
    </row>
    <row r="40" spans="2:9" ht="16.2" thickBot="1">
      <c r="B40" s="33" t="s">
        <v>32</v>
      </c>
      <c r="C40" s="85"/>
      <c r="D40" s="86"/>
      <c r="E40" s="4"/>
      <c r="F40" s="4"/>
      <c r="G40" s="4"/>
      <c r="H40" s="4"/>
      <c r="I40" s="7">
        <f>I38</f>
        <v>39200</v>
      </c>
    </row>
    <row r="41" spans="2:9" ht="16.2" thickBot="1">
      <c r="B41" s="33" t="s">
        <v>33</v>
      </c>
      <c r="C41" s="85"/>
      <c r="D41" s="86"/>
      <c r="E41" s="4"/>
      <c r="F41" s="4"/>
      <c r="G41" s="4"/>
      <c r="H41" s="4"/>
      <c r="I41" s="7" t="s">
        <v>34</v>
      </c>
    </row>
    <row r="42" spans="2:9" ht="16.2" thickBot="1">
      <c r="B42" s="33" t="s">
        <v>35</v>
      </c>
      <c r="C42" s="85"/>
      <c r="D42" s="86"/>
      <c r="E42" s="4"/>
      <c r="F42" s="4"/>
      <c r="G42" s="4"/>
      <c r="H42" s="4"/>
      <c r="I42" s="7" t="s">
        <v>36</v>
      </c>
    </row>
    <row r="43" spans="2:9" ht="16.2" thickBot="1">
      <c r="B43" s="33" t="s">
        <v>37</v>
      </c>
      <c r="C43" s="85"/>
      <c r="D43" s="86"/>
      <c r="E43" s="4"/>
      <c r="F43" s="4"/>
      <c r="G43" s="4"/>
      <c r="H43" s="4"/>
      <c r="I43" s="7" t="s">
        <v>38</v>
      </c>
    </row>
    <row r="47" spans="2:9">
      <c r="B47" s="15" t="s">
        <v>46</v>
      </c>
      <c r="C47" s="15"/>
      <c r="D47" s="15"/>
      <c r="E47" s="43">
        <v>0.1</v>
      </c>
      <c r="F47" s="43">
        <v>0.2</v>
      </c>
    </row>
    <row r="48" spans="2:9">
      <c r="B48" s="15" t="s">
        <v>42</v>
      </c>
      <c r="C48" s="15"/>
      <c r="D48" s="15"/>
      <c r="E48" s="15">
        <v>55000</v>
      </c>
      <c r="F48" s="15">
        <v>60000</v>
      </c>
    </row>
    <row r="49" spans="2:12">
      <c r="B49" s="15" t="s">
        <v>43</v>
      </c>
      <c r="C49" s="15"/>
      <c r="D49" s="15"/>
      <c r="E49" s="15">
        <v>450</v>
      </c>
      <c r="F49" s="15">
        <v>550</v>
      </c>
    </row>
    <row r="50" spans="2:12">
      <c r="B50" s="15" t="s">
        <v>44</v>
      </c>
      <c r="C50" s="15"/>
      <c r="D50" s="15"/>
      <c r="E50" s="15">
        <v>320</v>
      </c>
      <c r="F50" s="15">
        <v>370</v>
      </c>
    </row>
    <row r="51" spans="2:12">
      <c r="B51" s="8"/>
    </row>
    <row r="52" spans="2:12" ht="28.8">
      <c r="B52" s="39" t="str">
        <f>B47</f>
        <v>Ставка дисконтирования</v>
      </c>
      <c r="C52" s="39" t="str">
        <f>B48</f>
        <v>Первоначальные инвестиции</v>
      </c>
      <c r="D52" s="40" t="str">
        <f>B49</f>
        <v xml:space="preserve">Цена </v>
      </c>
      <c r="E52" s="39" t="str">
        <f>B50</f>
        <v>Переменные затраты на единицу</v>
      </c>
      <c r="F52" s="84" t="s">
        <v>68</v>
      </c>
      <c r="G52" s="84"/>
      <c r="H52" s="84"/>
      <c r="I52" s="84"/>
      <c r="J52" s="84"/>
      <c r="K52" s="84"/>
      <c r="L52" s="35" t="s">
        <v>69</v>
      </c>
    </row>
    <row r="53" spans="2:12">
      <c r="B53" s="41">
        <v>0.14000000000000001</v>
      </c>
      <c r="C53" s="41">
        <v>55000</v>
      </c>
      <c r="D53" s="42">
        <v>500</v>
      </c>
      <c r="E53" s="41">
        <v>350</v>
      </c>
      <c r="F53">
        <f>-C53</f>
        <v>-55000</v>
      </c>
      <c r="G53">
        <f>((D53-E53)*$E$14-$E$18-$E$20)*(1-0.2)+$E$20-0.3*($F$14*D53-$E$14*D53)</f>
        <v>8660</v>
      </c>
      <c r="H53">
        <f>($F$14*(D53-E53)-$F$18-$F$20)*0.8+$F$20-0.3*($G$14*D53-$F$14*D53)</f>
        <v>12260</v>
      </c>
      <c r="I53">
        <f>($G$14*(D53-E53)-$G$18-$G$20)*0.8+$H$20-0.3*($H$14*D53-$G$14*D53)</f>
        <v>29360</v>
      </c>
      <c r="J53">
        <f>($H$14*(D53-E53)-$H$18-$H$20)*0.8+$H$20-0.3*($I$14*D53-$H$14*D53)</f>
        <v>16160</v>
      </c>
      <c r="K53">
        <f>($I$14*(D53-E53)-$I$18-$I$20)*0.8+$I$20+$I$14*D53*0.3+$I$31</f>
        <v>27760</v>
      </c>
      <c r="L53" s="42">
        <f>F53+G53/(1+B53)^1+H53/(1+B53)^2+I53/(1+B53)^3+J53/(1+B53)^4+K53/(1+B53)^5</f>
        <v>5833.0182477379549</v>
      </c>
    </row>
    <row r="54" spans="2:12">
      <c r="B54" s="42">
        <v>0.19569994201483201</v>
      </c>
      <c r="C54" s="42">
        <v>58091.372417371138</v>
      </c>
      <c r="D54" s="42">
        <v>486.16748558000427</v>
      </c>
      <c r="E54" s="42">
        <v>368.33826715903194</v>
      </c>
      <c r="F54">
        <f t="shared" ref="F54:F117" si="7">-C54</f>
        <v>-58091.372417371138</v>
      </c>
      <c r="G54">
        <f t="shared" ref="G54:G117" si="8">((D54-E54)*$E$14-$E$18-$E$20)*(1-0.2)+$E$20-0.3*($F$14*D54-$E$14*D54)</f>
        <v>6210.830103457748</v>
      </c>
      <c r="H54">
        <f t="shared" ref="H54:H117" si="9">($F$14*(D54-E54)-$F$18-$F$20)*0.8+$F$20-0.3*($G$14*D54-$F$14*D54)</f>
        <v>9038.731345561082</v>
      </c>
      <c r="I54">
        <f t="shared" ref="I54:I117" si="10">($G$14*(D54-E54)-$G$18-$G$20)*0.8+$H$20-0.3*($H$14*D54-$G$14*D54)</f>
        <v>24993.154698324535</v>
      </c>
      <c r="J54">
        <f t="shared" ref="J54:J117" si="11">($H$14*(D54-E54)-$H$18-$H$20)*0.8+$H$20-0.3*($I$14*D54-$H$14*D54)</f>
        <v>13503.342387157812</v>
      </c>
      <c r="K54">
        <f t="shared" ref="K54:K117" si="12">($I$14*(D54-E54)-$I$18-$I$20)*0.8+$I$20+$I$14*D54*0.3+$I$31</f>
        <v>25369.089632862331</v>
      </c>
      <c r="L54" s="42">
        <f t="shared" ref="L54:L117" si="13">F54+G54/(1+B54)^1+H54/(1+B54)^2+I54/(1+B54)^3+J54/(1+B54)^4+K54/(1+B54)^5</f>
        <v>-14968.5772165983</v>
      </c>
    </row>
    <row r="55" spans="2:12">
      <c r="B55" s="42">
        <v>0.15172582171086765</v>
      </c>
      <c r="C55" s="42">
        <v>58706.167790765096</v>
      </c>
      <c r="D55" s="42">
        <v>511.51310769981995</v>
      </c>
      <c r="E55" s="42">
        <v>362.2635578478347</v>
      </c>
      <c r="F55">
        <f t="shared" si="7"/>
        <v>-58706.167790765096</v>
      </c>
      <c r="G55">
        <f t="shared" si="8"/>
        <v>8496.3460188604404</v>
      </c>
      <c r="H55">
        <f t="shared" si="9"/>
        <v>12078.335215308089</v>
      </c>
      <c r="I55">
        <f t="shared" si="10"/>
        <v>29471.17831965087</v>
      </c>
      <c r="J55">
        <f t="shared" si="11"/>
        <v>16169.04263435774</v>
      </c>
      <c r="K55">
        <f t="shared" si="12"/>
        <v>27988.285775322736</v>
      </c>
      <c r="L55" s="42">
        <f t="shared" si="13"/>
        <v>67.887852028285124</v>
      </c>
    </row>
    <row r="56" spans="2:12">
      <c r="B56" s="42">
        <v>0.1512161626026185</v>
      </c>
      <c r="C56" s="42">
        <v>55276.192510757777</v>
      </c>
      <c r="D56" s="42">
        <v>456.72933133945736</v>
      </c>
      <c r="E56" s="42">
        <v>331.45817438276316</v>
      </c>
      <c r="F56">
        <f t="shared" si="7"/>
        <v>-55276.192510757777</v>
      </c>
      <c r="G56">
        <f t="shared" si="8"/>
        <v>7071.128574480419</v>
      </c>
      <c r="H56">
        <f t="shared" si="9"/>
        <v>10077.636341441083</v>
      </c>
      <c r="I56">
        <f t="shared" si="10"/>
        <v>25415.836054567088</v>
      </c>
      <c r="J56">
        <f t="shared" si="11"/>
        <v>13922.068544572279</v>
      </c>
      <c r="K56">
        <f t="shared" si="12"/>
        <v>25138.857997375402</v>
      </c>
      <c r="L56" s="42">
        <f t="shared" si="13"/>
        <v>-4512.4312296794251</v>
      </c>
    </row>
    <row r="57" spans="2:12">
      <c r="B57" s="42">
        <v>0.18865627002777186</v>
      </c>
      <c r="C57" s="42">
        <v>58452.101199377423</v>
      </c>
      <c r="D57" s="42">
        <v>532.0734275337993</v>
      </c>
      <c r="E57" s="42">
        <v>360.67506942960904</v>
      </c>
      <c r="F57">
        <f t="shared" si="7"/>
        <v>-58452.101199377423</v>
      </c>
      <c r="G57">
        <f t="shared" si="8"/>
        <v>10083.20780053103</v>
      </c>
      <c r="H57">
        <f t="shared" si="9"/>
        <v>14196.768395031595</v>
      </c>
      <c r="I57">
        <f t="shared" si="10"/>
        <v>32676.311532944739</v>
      </c>
      <c r="J57">
        <f t="shared" si="11"/>
        <v>18064.309213538018</v>
      </c>
      <c r="K57">
        <f t="shared" si="12"/>
        <v>29899.257179479358</v>
      </c>
      <c r="L57" s="42">
        <f t="shared" si="13"/>
        <v>1184.3277706966965</v>
      </c>
    </row>
    <row r="58" spans="2:12">
      <c r="B58" s="42">
        <v>0.10273140659810176</v>
      </c>
      <c r="C58" s="42">
        <v>55797.753837702563</v>
      </c>
      <c r="D58" s="42">
        <v>498.78688924832909</v>
      </c>
      <c r="E58" s="42">
        <v>368.45271156956693</v>
      </c>
      <c r="F58">
        <f t="shared" si="7"/>
        <v>-55797.753837702563</v>
      </c>
      <c r="G58">
        <f t="shared" si="8"/>
        <v>7097.6522110660135</v>
      </c>
      <c r="H58">
        <f t="shared" si="9"/>
        <v>10225.672475356299</v>
      </c>
      <c r="I58">
        <f t="shared" si="10"/>
        <v>26820.938749351481</v>
      </c>
      <c r="J58">
        <f t="shared" si="11"/>
        <v>14579.455549790948</v>
      </c>
      <c r="K58">
        <f t="shared" si="12"/>
        <v>26472.272713400678</v>
      </c>
      <c r="L58" s="42">
        <f t="shared" si="13"/>
        <v>5143.7340363864714</v>
      </c>
    </row>
    <row r="59" spans="2:12">
      <c r="B59" s="42">
        <v>0.12891018402661214</v>
      </c>
      <c r="C59" s="42">
        <v>57050.996429334395</v>
      </c>
      <c r="D59" s="42">
        <v>493.22336497085485</v>
      </c>
      <c r="E59" s="42">
        <v>366.33777886288033</v>
      </c>
      <c r="F59">
        <f t="shared" si="7"/>
        <v>-57050.996429334395</v>
      </c>
      <c r="G59">
        <f t="shared" si="8"/>
        <v>6871.8366039002694</v>
      </c>
      <c r="H59">
        <f t="shared" si="9"/>
        <v>9917.0906704916524</v>
      </c>
      <c r="I59">
        <f t="shared" si="10"/>
        <v>26279.375591296128</v>
      </c>
      <c r="J59">
        <f t="shared" si="11"/>
        <v>14270.18707846309</v>
      </c>
      <c r="K59">
        <f t="shared" si="12"/>
        <v>26118.038270210884</v>
      </c>
      <c r="L59" s="42">
        <f t="shared" si="13"/>
        <v>-1886.1923797168838</v>
      </c>
    </row>
    <row r="60" spans="2:12">
      <c r="B60" s="42">
        <v>0.15232093264564958</v>
      </c>
      <c r="C60" s="42">
        <v>56022.980437635422</v>
      </c>
      <c r="D60" s="42">
        <v>457.77306436353649</v>
      </c>
      <c r="E60" s="42">
        <v>361.55247657704399</v>
      </c>
      <c r="F60">
        <f t="shared" si="7"/>
        <v>-56022.980437635422</v>
      </c>
      <c r="G60">
        <f t="shared" si="8"/>
        <v>4737.6894436475714</v>
      </c>
      <c r="H60">
        <f t="shared" si="9"/>
        <v>7046.9835505233941</v>
      </c>
      <c r="I60">
        <f t="shared" si="10"/>
        <v>21716.150395214696</v>
      </c>
      <c r="J60">
        <f t="shared" si="11"/>
        <v>11604.285409100619</v>
      </c>
      <c r="K60">
        <f t="shared" si="12"/>
        <v>23304.671163060397</v>
      </c>
      <c r="L60" s="42">
        <f t="shared" si="13"/>
        <v>-14360.021622129019</v>
      </c>
    </row>
    <row r="61" spans="2:12">
      <c r="B61" s="42">
        <v>0.10471205786309397</v>
      </c>
      <c r="C61" s="42">
        <v>58840.75441755425</v>
      </c>
      <c r="D61" s="42">
        <v>475.77288125247964</v>
      </c>
      <c r="E61" s="42">
        <v>326.74459059419536</v>
      </c>
      <c r="F61">
        <f t="shared" si="7"/>
        <v>-58840.75441755425</v>
      </c>
      <c r="G61">
        <f t="shared" si="8"/>
        <v>8800.3073213904245</v>
      </c>
      <c r="H61">
        <f t="shared" si="9"/>
        <v>12376.986297189251</v>
      </c>
      <c r="I61">
        <f t="shared" si="10"/>
        <v>28799.533066805019</v>
      </c>
      <c r="J61">
        <f t="shared" si="11"/>
        <v>15936.900540177621</v>
      </c>
      <c r="K61">
        <f t="shared" si="12"/>
        <v>27116.359752189703</v>
      </c>
      <c r="L61" s="42">
        <f t="shared" si="13"/>
        <v>7810.7288579399356</v>
      </c>
    </row>
    <row r="62" spans="2:12">
      <c r="B62" s="42">
        <v>0.14427014984588155</v>
      </c>
      <c r="C62" s="42">
        <v>58314.462721640673</v>
      </c>
      <c r="D62" s="42">
        <v>471.14017151402328</v>
      </c>
      <c r="E62" s="42">
        <v>351.28452406384474</v>
      </c>
      <c r="F62">
        <f t="shared" si="7"/>
        <v>-58314.462721640673</v>
      </c>
      <c r="G62">
        <f t="shared" si="8"/>
        <v>6508.1902523880735</v>
      </c>
      <c r="H62">
        <f t="shared" si="9"/>
        <v>9384.7257911923589</v>
      </c>
      <c r="I62">
        <f t="shared" si="10"/>
        <v>24982.045960875272</v>
      </c>
      <c r="J62">
        <f t="shared" si="11"/>
        <v>13575.292825098422</v>
      </c>
      <c r="K62">
        <f t="shared" si="12"/>
        <v>25138.125553147984</v>
      </c>
      <c r="L62" s="42">
        <f t="shared" si="13"/>
        <v>-8052.774531373032</v>
      </c>
    </row>
    <row r="63" spans="2:12">
      <c r="B63" s="42">
        <v>0.19161046174504839</v>
      </c>
      <c r="C63" s="42">
        <v>55011.291848506116</v>
      </c>
      <c r="D63" s="42">
        <v>533.95947141941588</v>
      </c>
      <c r="E63" s="42">
        <v>324.42518387401958</v>
      </c>
      <c r="F63">
        <f t="shared" si="7"/>
        <v>-55011.291848506116</v>
      </c>
      <c r="G63">
        <f t="shared" si="8"/>
        <v>13117.107760856958</v>
      </c>
      <c r="H63">
        <f t="shared" si="9"/>
        <v>18145.930661946477</v>
      </c>
      <c r="I63">
        <f t="shared" si="10"/>
        <v>37591.659291360214</v>
      </c>
      <c r="J63">
        <f t="shared" si="11"/>
        <v>21126.499832148198</v>
      </c>
      <c r="K63">
        <f t="shared" si="12"/>
        <v>32385.221716971344</v>
      </c>
      <c r="L63" s="42">
        <f t="shared" si="13"/>
        <v>14950.993017543764</v>
      </c>
    </row>
    <row r="64" spans="2:12">
      <c r="B64" s="42">
        <v>0.13297524948881498</v>
      </c>
      <c r="C64" s="42">
        <v>57728.049562059387</v>
      </c>
      <c r="D64" s="42">
        <v>457.6967680898465</v>
      </c>
      <c r="E64" s="42">
        <v>368.41151158177433</v>
      </c>
      <c r="F64">
        <f t="shared" si="7"/>
        <v>-57728.049562059387</v>
      </c>
      <c r="G64">
        <f t="shared" si="8"/>
        <v>4183.5496078371561</v>
      </c>
      <c r="H64">
        <f t="shared" si="9"/>
        <v>6326.3957640308854</v>
      </c>
      <c r="I64">
        <f t="shared" si="10"/>
        <v>20827.054658650472</v>
      </c>
      <c r="J64">
        <f t="shared" si="11"/>
        <v>11049.001129184853</v>
      </c>
      <c r="K64">
        <f t="shared" si="12"/>
        <v>22858.978850672935</v>
      </c>
      <c r="L64" s="42">
        <f t="shared" si="13"/>
        <v>-15835.687873981427</v>
      </c>
    </row>
    <row r="65" spans="2:12">
      <c r="B65" s="42">
        <v>0.16453138828699607</v>
      </c>
      <c r="C65" s="42">
        <v>55133.213293862726</v>
      </c>
      <c r="D65" s="42">
        <v>523.08572649311805</v>
      </c>
      <c r="E65" s="42">
        <v>360.1623584704123</v>
      </c>
      <c r="F65">
        <f t="shared" si="7"/>
        <v>-55133.213293862726</v>
      </c>
      <c r="G65">
        <f t="shared" si="8"/>
        <v>9486.0979033783988</v>
      </c>
      <c r="H65">
        <f t="shared" si="9"/>
        <v>13396.258735923337</v>
      </c>
      <c r="I65">
        <f t="shared" si="10"/>
        <v>31429.734183782464</v>
      </c>
      <c r="J65">
        <f t="shared" si="11"/>
        <v>17332.383800775166</v>
      </c>
      <c r="K65">
        <f t="shared" si="12"/>
        <v>29141.152989287999</v>
      </c>
      <c r="L65" s="42">
        <f t="shared" si="13"/>
        <v>5823.5021360595656</v>
      </c>
    </row>
    <row r="66" spans="2:12">
      <c r="B66" s="42">
        <v>0.13545335245826595</v>
      </c>
      <c r="C66" s="42">
        <v>57000.946073793755</v>
      </c>
      <c r="D66" s="42">
        <v>547.51274147770619</v>
      </c>
      <c r="E66" s="42">
        <v>346.96615497299109</v>
      </c>
      <c r="F66">
        <f t="shared" si="7"/>
        <v>-57000.946073793755</v>
      </c>
      <c r="G66">
        <f t="shared" si="8"/>
        <v>12276.11224707785</v>
      </c>
      <c r="H66">
        <f t="shared" si="9"/>
        <v>17089.230323191015</v>
      </c>
      <c r="I66">
        <f t="shared" si="10"/>
        <v>36685.192419202249</v>
      </c>
      <c r="J66">
        <f t="shared" si="11"/>
        <v>20488.803369243444</v>
      </c>
      <c r="K66">
        <f t="shared" si="12"/>
        <v>32135.287331766714</v>
      </c>
      <c r="L66" s="42">
        <f t="shared" si="13"/>
        <v>21479.321274113699</v>
      </c>
    </row>
    <row r="67" spans="2:12">
      <c r="B67" s="42">
        <v>0.17821893978698081</v>
      </c>
      <c r="C67" s="42">
        <v>58301.950132755519</v>
      </c>
      <c r="D67" s="42">
        <v>471.22257148960847</v>
      </c>
      <c r="E67" s="42">
        <v>325.84276863917967</v>
      </c>
      <c r="F67">
        <f t="shared" si="7"/>
        <v>-58301.950132755519</v>
      </c>
      <c r="G67">
        <f t="shared" si="8"/>
        <v>8549.3810846278284</v>
      </c>
      <c r="H67">
        <f t="shared" si="9"/>
        <v>12038.496353038121</v>
      </c>
      <c r="I67">
        <f t="shared" si="10"/>
        <v>28250.62105166784</v>
      </c>
      <c r="J67">
        <f t="shared" si="11"/>
        <v>15617.719656971956</v>
      </c>
      <c r="K67">
        <f t="shared" si="12"/>
        <v>26773.649098178044</v>
      </c>
      <c r="L67" s="42">
        <f t="shared" si="13"/>
        <v>-5205.4509962214961</v>
      </c>
    </row>
    <row r="68" spans="2:12">
      <c r="B68" s="42">
        <v>0.17645191808832059</v>
      </c>
      <c r="C68" s="42">
        <v>58113.345744193852</v>
      </c>
      <c r="D68" s="42">
        <v>482.90505691702015</v>
      </c>
      <c r="E68" s="42">
        <v>369.95574816125981</v>
      </c>
      <c r="F68">
        <f t="shared" si="7"/>
        <v>-58113.345744193852</v>
      </c>
      <c r="G68">
        <f t="shared" si="8"/>
        <v>5849.799188207644</v>
      </c>
      <c r="H68">
        <f t="shared" si="9"/>
        <v>8560.5825983458944</v>
      </c>
      <c r="I68">
        <f t="shared" si="10"/>
        <v>24309.802545243685</v>
      </c>
      <c r="J68">
        <f t="shared" si="11"/>
        <v>13093.375041962945</v>
      </c>
      <c r="K68">
        <f t="shared" si="12"/>
        <v>24978.477126377147</v>
      </c>
      <c r="L68" s="42">
        <f t="shared" si="13"/>
        <v>-14106.532058338533</v>
      </c>
    </row>
    <row r="69" spans="2:12">
      <c r="B69" s="42">
        <v>0.1728263191625721</v>
      </c>
      <c r="C69" s="42">
        <v>58433.484908597064</v>
      </c>
      <c r="D69" s="42">
        <v>528.07245094149607</v>
      </c>
      <c r="E69" s="42">
        <v>324.56556901760916</v>
      </c>
      <c r="F69">
        <f t="shared" si="7"/>
        <v>-58433.484908597064</v>
      </c>
      <c r="G69">
        <f t="shared" si="8"/>
        <v>12687.898495437486</v>
      </c>
      <c r="H69">
        <f t="shared" si="9"/>
        <v>17572.063661610777</v>
      </c>
      <c r="I69">
        <f t="shared" si="10"/>
        <v>36714.185003204453</v>
      </c>
      <c r="J69">
        <f t="shared" si="11"/>
        <v>20608.98525955993</v>
      </c>
      <c r="K69">
        <f t="shared" si="12"/>
        <v>31858.179265724666</v>
      </c>
      <c r="L69" s="42">
        <f t="shared" si="13"/>
        <v>13166.490569541978</v>
      </c>
    </row>
    <row r="70" spans="2:12">
      <c r="B70" s="42">
        <v>0.14850306711020234</v>
      </c>
      <c r="C70" s="42">
        <v>56201.208532975252</v>
      </c>
      <c r="D70" s="42">
        <v>515.95049897762988</v>
      </c>
      <c r="E70" s="42">
        <v>337.36198004089482</v>
      </c>
      <c r="F70">
        <f t="shared" si="7"/>
        <v>-56201.208532975252</v>
      </c>
      <c r="G70">
        <f t="shared" si="8"/>
        <v>10803.527024140136</v>
      </c>
      <c r="H70">
        <f t="shared" si="9"/>
        <v>15089.651478621778</v>
      </c>
      <c r="I70">
        <f t="shared" si="10"/>
        <v>33306.439405499419</v>
      </c>
      <c r="J70">
        <f t="shared" si="11"/>
        <v>18542.784508804587</v>
      </c>
      <c r="K70">
        <f t="shared" si="12"/>
        <v>29972.477187414159</v>
      </c>
      <c r="L70" s="42">
        <f t="shared" si="13"/>
        <v>12286.642630411126</v>
      </c>
    </row>
    <row r="71" spans="2:12">
      <c r="B71" s="42">
        <v>0.16295052949613942</v>
      </c>
      <c r="C71" s="42">
        <v>55743.278298287914</v>
      </c>
      <c r="D71" s="42">
        <v>540.13336588641016</v>
      </c>
      <c r="E71" s="42">
        <v>331.66722617267374</v>
      </c>
      <c r="F71">
        <f t="shared" si="7"/>
        <v>-55743.278298287914</v>
      </c>
      <c r="G71">
        <f t="shared" si="8"/>
        <v>12976.090884121226</v>
      </c>
      <c r="H71">
        <f t="shared" si="9"/>
        <v>17979.278237250899</v>
      </c>
      <c r="I71">
        <f t="shared" si="10"/>
        <v>37566.06646931365</v>
      </c>
      <c r="J71">
        <f t="shared" si="11"/>
        <v>21078.091372417377</v>
      </c>
      <c r="K71">
        <f t="shared" si="12"/>
        <v>32465.033722952976</v>
      </c>
      <c r="L71" s="42">
        <f t="shared" si="13"/>
        <v>19378.2047308896</v>
      </c>
    </row>
    <row r="72" spans="2:12">
      <c r="B72" s="42">
        <v>0.13750724814600054</v>
      </c>
      <c r="C72" s="42">
        <v>59106.418042542806</v>
      </c>
      <c r="D72" s="42">
        <v>480.24079103976561</v>
      </c>
      <c r="E72" s="42">
        <v>337.95403912472915</v>
      </c>
      <c r="F72">
        <f t="shared" si="7"/>
        <v>-59106.418042542806</v>
      </c>
      <c r="G72">
        <f t="shared" si="8"/>
        <v>8220.7730338450256</v>
      </c>
      <c r="H72">
        <f t="shared" si="9"/>
        <v>11635.655079805902</v>
      </c>
      <c r="I72">
        <f t="shared" si="10"/>
        <v>28017.03848384045</v>
      </c>
      <c r="J72">
        <f t="shared" si="11"/>
        <v>15424.384899441509</v>
      </c>
      <c r="K72">
        <f t="shared" si="12"/>
        <v>26792.13110751671</v>
      </c>
      <c r="L72" s="42">
        <f t="shared" si="13"/>
        <v>-570.64864647139075</v>
      </c>
    </row>
    <row r="73" spans="2:12">
      <c r="B73" s="42">
        <v>0.18314767906735435</v>
      </c>
      <c r="C73" s="42">
        <v>58936.582537308881</v>
      </c>
      <c r="D73" s="42">
        <v>543.58195745719775</v>
      </c>
      <c r="E73" s="42">
        <v>364.64247566148867</v>
      </c>
      <c r="F73">
        <f t="shared" si="7"/>
        <v>-58936.582537308881</v>
      </c>
      <c r="G73">
        <f t="shared" si="8"/>
        <v>10582.920926541949</v>
      </c>
      <c r="H73">
        <f t="shared" si="9"/>
        <v>14877.468489638961</v>
      </c>
      <c r="I73">
        <f t="shared" si="10"/>
        <v>33848.728904080323</v>
      </c>
      <c r="J73">
        <f t="shared" si="11"/>
        <v>18736.650288399909</v>
      </c>
      <c r="K73">
        <f t="shared" si="12"/>
        <v>30658.093813898129</v>
      </c>
      <c r="L73" s="42">
        <f t="shared" si="13"/>
        <v>3858.8595449059612</v>
      </c>
    </row>
    <row r="74" spans="2:12">
      <c r="B74" s="42">
        <v>0.11931821649830623</v>
      </c>
      <c r="C74" s="42">
        <v>58340.708639790035</v>
      </c>
      <c r="D74" s="42">
        <v>487.68120365001374</v>
      </c>
      <c r="E74" s="42">
        <v>333.45866267891478</v>
      </c>
      <c r="F74">
        <f t="shared" si="7"/>
        <v>-58340.708639790035</v>
      </c>
      <c r="G74">
        <f t="shared" si="8"/>
        <v>9108.6724448377972</v>
      </c>
      <c r="H74">
        <f t="shared" si="9"/>
        <v>12810.013428144168</v>
      </c>
      <c r="I74">
        <f t="shared" si="10"/>
        <v>29678.746910000915</v>
      </c>
      <c r="J74">
        <f t="shared" si="11"/>
        <v>16423.890499588</v>
      </c>
      <c r="K74">
        <f t="shared" si="12"/>
        <v>27734.591509750666</v>
      </c>
      <c r="L74" s="42">
        <f t="shared" si="13"/>
        <v>7433.3400714692471</v>
      </c>
    </row>
    <row r="75" spans="2:12">
      <c r="B75" s="42">
        <v>0.19851680043946654</v>
      </c>
      <c r="C75" s="42">
        <v>55141.758476516006</v>
      </c>
      <c r="D75" s="42">
        <v>547.69280068361456</v>
      </c>
      <c r="E75" s="42">
        <v>348.79879146702473</v>
      </c>
      <c r="F75">
        <f t="shared" si="7"/>
        <v>-55141.758476516006</v>
      </c>
      <c r="G75">
        <f t="shared" si="8"/>
        <v>12142.285531174655</v>
      </c>
      <c r="H75">
        <f t="shared" si="9"/>
        <v>16915.741752372815</v>
      </c>
      <c r="I75">
        <f t="shared" si="10"/>
        <v>36476.903592028568</v>
      </c>
      <c r="J75">
        <f t="shared" si="11"/>
        <v>20357.677541428875</v>
      </c>
      <c r="K75">
        <f t="shared" si="12"/>
        <v>32033.843806268502</v>
      </c>
      <c r="L75" s="42">
        <f t="shared" si="13"/>
        <v>10773.036467414893</v>
      </c>
    </row>
    <row r="76" spans="2:12">
      <c r="B76" s="42">
        <v>0.12682271797845393</v>
      </c>
      <c r="C76" s="42">
        <v>59748.985259559922</v>
      </c>
      <c r="D76" s="42">
        <v>456.67744987334817</v>
      </c>
      <c r="E76" s="42">
        <v>357.10592974639121</v>
      </c>
      <c r="F76">
        <f t="shared" si="7"/>
        <v>-59748.985259559922</v>
      </c>
      <c r="G76">
        <f t="shared" si="8"/>
        <v>5015.6245612964231</v>
      </c>
      <c r="H76">
        <f t="shared" si="9"/>
        <v>7405.3410443433886</v>
      </c>
      <c r="I76">
        <f t="shared" si="10"/>
        <v>22125.348673970759</v>
      </c>
      <c r="J76">
        <f t="shared" si="11"/>
        <v>11865.786309396644</v>
      </c>
      <c r="K76">
        <f t="shared" si="12"/>
        <v>23492.836085085601</v>
      </c>
      <c r="L76" s="42">
        <f t="shared" si="13"/>
        <v>-13709.897787060387</v>
      </c>
    </row>
    <row r="77" spans="2:12">
      <c r="B77" s="42">
        <v>0.10704977568895535</v>
      </c>
      <c r="C77" s="42">
        <v>57122.257148960845</v>
      </c>
      <c r="D77" s="42">
        <v>514.76943266090882</v>
      </c>
      <c r="E77" s="42">
        <v>335.10361033967104</v>
      </c>
      <c r="F77">
        <f t="shared" si="7"/>
        <v>-57122.257148960845</v>
      </c>
      <c r="G77">
        <f t="shared" si="8"/>
        <v>10900.340891750846</v>
      </c>
      <c r="H77">
        <f t="shared" si="9"/>
        <v>15212.320627460549</v>
      </c>
      <c r="I77">
        <f t="shared" si="10"/>
        <v>33423.075045014797</v>
      </c>
      <c r="J77">
        <f t="shared" si="11"/>
        <v>18621.882381664476</v>
      </c>
      <c r="K77">
        <f t="shared" si="12"/>
        <v>30013.079012421033</v>
      </c>
      <c r="L77" s="42">
        <f t="shared" si="13"/>
        <v>20219.159167450882</v>
      </c>
    </row>
    <row r="78" spans="2:12">
      <c r="B78" s="42">
        <v>0.13239844965971861</v>
      </c>
      <c r="C78" s="42">
        <v>59649.18973357341</v>
      </c>
      <c r="D78" s="42">
        <v>479.04751731925415</v>
      </c>
      <c r="E78" s="42">
        <v>369.67040009765924</v>
      </c>
      <c r="F78">
        <f t="shared" si="7"/>
        <v>-59649.18973357341</v>
      </c>
      <c r="G78">
        <f t="shared" si="8"/>
        <v>5598.741721854306</v>
      </c>
      <c r="H78">
        <f t="shared" si="9"/>
        <v>8223.7925351725826</v>
      </c>
      <c r="I78">
        <f t="shared" si="10"/>
        <v>23783.126316110727</v>
      </c>
      <c r="J78">
        <f t="shared" si="11"/>
        <v>12784.454481643117</v>
      </c>
      <c r="K78">
        <f t="shared" si="12"/>
        <v>24657.275917844174</v>
      </c>
      <c r="L78" s="42">
        <f t="shared" si="13"/>
        <v>-10896.894941097204</v>
      </c>
    </row>
    <row r="79" spans="2:12">
      <c r="B79" s="42">
        <v>0.12383800775170141</v>
      </c>
      <c r="C79" s="42">
        <v>59792.016357921078</v>
      </c>
      <c r="D79" s="42">
        <v>539.45585497604293</v>
      </c>
      <c r="E79" s="42">
        <v>353.32468642231515</v>
      </c>
      <c r="F79">
        <f t="shared" si="7"/>
        <v>-59792.016357921078</v>
      </c>
      <c r="G79">
        <f t="shared" si="8"/>
        <v>11195.390789513836</v>
      </c>
      <c r="H79">
        <f t="shared" si="9"/>
        <v>15662.538834803298</v>
      </c>
      <c r="I79">
        <f t="shared" si="10"/>
        <v>34694.994964445927</v>
      </c>
      <c r="J79">
        <f t="shared" si="11"/>
        <v>19287.228614154479</v>
      </c>
      <c r="K79">
        <f t="shared" si="12"/>
        <v>31019.335306863606</v>
      </c>
      <c r="L79" s="42">
        <f t="shared" si="13"/>
        <v>16407.240266980905</v>
      </c>
    </row>
    <row r="80" spans="2:12">
      <c r="B80" s="42">
        <v>0.10032044434949798</v>
      </c>
      <c r="C80" s="42">
        <v>59733.268227179782</v>
      </c>
      <c r="D80" s="42">
        <v>541.82103946043276</v>
      </c>
      <c r="E80" s="42">
        <v>336.17938779869991</v>
      </c>
      <c r="F80">
        <f t="shared" si="7"/>
        <v>-59733.268227179782</v>
      </c>
      <c r="G80">
        <f t="shared" si="8"/>
        <v>12734.942777794735</v>
      </c>
      <c r="H80">
        <f t="shared" si="9"/>
        <v>17670.342417676322</v>
      </c>
      <c r="I80">
        <f t="shared" si="10"/>
        <v>37234.910122989597</v>
      </c>
      <c r="J80">
        <f t="shared" si="11"/>
        <v>20862.258369701227</v>
      </c>
      <c r="K80">
        <f t="shared" si="12"/>
        <v>32324.77065340129</v>
      </c>
      <c r="L80" s="42">
        <f t="shared" si="13"/>
        <v>28660.910996833547</v>
      </c>
    </row>
    <row r="81" spans="2:12">
      <c r="B81" s="42">
        <v>0.10866115298928801</v>
      </c>
      <c r="C81" s="42">
        <v>55570.238349559011</v>
      </c>
      <c r="D81" s="42">
        <v>504.06048768578142</v>
      </c>
      <c r="E81" s="42">
        <v>323.53556932279429</v>
      </c>
      <c r="F81">
        <f t="shared" si="7"/>
        <v>-55570.238349559011</v>
      </c>
      <c r="G81">
        <f t="shared" si="8"/>
        <v>11065.449079866939</v>
      </c>
      <c r="H81">
        <f t="shared" si="9"/>
        <v>15398.047120578634</v>
      </c>
      <c r="I81">
        <f t="shared" si="10"/>
        <v>33340.278328806417</v>
      </c>
      <c r="J81">
        <f t="shared" si="11"/>
        <v>18626.356395153663</v>
      </c>
      <c r="K81">
        <f t="shared" si="12"/>
        <v>29811.046479689932</v>
      </c>
      <c r="L81" s="42">
        <f t="shared" si="13"/>
        <v>21532.446940644986</v>
      </c>
    </row>
    <row r="82" spans="2:12">
      <c r="B82" s="42">
        <v>0.14972075563829462</v>
      </c>
      <c r="C82" s="42">
        <v>56508.377330851159</v>
      </c>
      <c r="D82" s="42">
        <v>499.12259285256511</v>
      </c>
      <c r="E82" s="42">
        <v>366.5758232367931</v>
      </c>
      <c r="F82">
        <f t="shared" si="7"/>
        <v>-56508.377330851159</v>
      </c>
      <c r="G82">
        <f t="shared" si="8"/>
        <v>7271.6382335886774</v>
      </c>
      <c r="H82">
        <f t="shared" si="9"/>
        <v>10452.7607043672</v>
      </c>
      <c r="I82">
        <f t="shared" si="10"/>
        <v>27110.193182164989</v>
      </c>
      <c r="J82">
        <f t="shared" si="11"/>
        <v>14758.477126377153</v>
      </c>
      <c r="K82">
        <f t="shared" si="12"/>
        <v>26621.93548387097</v>
      </c>
      <c r="L82" s="42">
        <f t="shared" si="13"/>
        <v>-2739.3692818361742</v>
      </c>
    </row>
    <row r="83" spans="2:12">
      <c r="B83" s="42">
        <v>0.13996398815881833</v>
      </c>
      <c r="C83" s="42">
        <v>55606.250190740684</v>
      </c>
      <c r="D83" s="42">
        <v>549.1943113498337</v>
      </c>
      <c r="E83" s="42">
        <v>358.52504043702504</v>
      </c>
      <c r="F83">
        <f t="shared" si="7"/>
        <v>-55606.250190740684</v>
      </c>
      <c r="G83">
        <f t="shared" si="8"/>
        <v>11470.792870876192</v>
      </c>
      <c r="H83">
        <f t="shared" si="9"/>
        <v>16046.855372783599</v>
      </c>
      <c r="I83">
        <f t="shared" si="10"/>
        <v>35451.164281136516</v>
      </c>
      <c r="J83">
        <f t="shared" si="11"/>
        <v>19708.707541123698</v>
      </c>
      <c r="K83">
        <f t="shared" si="12"/>
        <v>31543.496810815763</v>
      </c>
      <c r="L83" s="42">
        <f t="shared" si="13"/>
        <v>18791.178144626501</v>
      </c>
    </row>
    <row r="84" spans="2:12">
      <c r="B84" s="42">
        <v>0.14398632770775477</v>
      </c>
      <c r="C84" s="42">
        <v>58561.204870754111</v>
      </c>
      <c r="D84" s="42">
        <v>501.37791070284129</v>
      </c>
      <c r="E84" s="42">
        <v>335.26841029084142</v>
      </c>
      <c r="F84">
        <f t="shared" si="7"/>
        <v>-58561.204870754111</v>
      </c>
      <c r="G84">
        <f t="shared" si="8"/>
        <v>9936.3588366344193</v>
      </c>
      <c r="H84">
        <f t="shared" si="9"/>
        <v>13922.986846522419</v>
      </c>
      <c r="I84">
        <f t="shared" si="10"/>
        <v>31446.818445387125</v>
      </c>
      <c r="J84">
        <f t="shared" si="11"/>
        <v>17457.027497177038</v>
      </c>
      <c r="K84">
        <f t="shared" si="12"/>
        <v>28824.077883236183</v>
      </c>
      <c r="L84" s="42">
        <f t="shared" si="13"/>
        <v>6671.8241004984502</v>
      </c>
    </row>
    <row r="85" spans="2:12">
      <c r="B85" s="42">
        <v>0.11269264809106724</v>
      </c>
      <c r="C85" s="42">
        <v>56402.020325327314</v>
      </c>
      <c r="D85" s="42">
        <v>463.17484054078801</v>
      </c>
      <c r="E85" s="42">
        <v>324.87533188879053</v>
      </c>
      <c r="F85">
        <f t="shared" si="7"/>
        <v>-56402.020325327314</v>
      </c>
      <c r="G85">
        <f t="shared" si="8"/>
        <v>8055.3871272927054</v>
      </c>
      <c r="H85">
        <f t="shared" si="9"/>
        <v>11374.575334940644</v>
      </c>
      <c r="I85">
        <f t="shared" si="10"/>
        <v>27199.484237189863</v>
      </c>
      <c r="J85">
        <f t="shared" si="11"/>
        <v>15003.009735404525</v>
      </c>
      <c r="K85">
        <f t="shared" si="12"/>
        <v>26127.36472670675</v>
      </c>
      <c r="L85" s="42">
        <f t="shared" si="13"/>
        <v>4874.9959694403351</v>
      </c>
    </row>
    <row r="86" spans="2:12">
      <c r="B86" s="42">
        <v>0.1991668446913053</v>
      </c>
      <c r="C86" s="42">
        <v>57424.695577867977</v>
      </c>
      <c r="D86" s="42">
        <v>496.09820856349376</v>
      </c>
      <c r="E86" s="42">
        <v>338.70021668141726</v>
      </c>
      <c r="F86">
        <f t="shared" si="7"/>
        <v>-57424.695577867977</v>
      </c>
      <c r="G86">
        <f t="shared" si="8"/>
        <v>9286.955473494676</v>
      </c>
      <c r="H86">
        <f t="shared" si="9"/>
        <v>13064.507278664511</v>
      </c>
      <c r="I86">
        <f t="shared" si="10"/>
        <v>30236.710715048681</v>
      </c>
      <c r="J86">
        <f t="shared" si="11"/>
        <v>16728.428601947082</v>
      </c>
      <c r="K86">
        <f t="shared" si="12"/>
        <v>28139.828485976745</v>
      </c>
      <c r="L86" s="42">
        <f t="shared" si="13"/>
        <v>-3622.5238131255592</v>
      </c>
    </row>
    <row r="87" spans="2:12">
      <c r="B87" s="42">
        <v>0.10722067934202094</v>
      </c>
      <c r="C87" s="42">
        <v>58869.13663136692</v>
      </c>
      <c r="D87" s="42">
        <v>472.20221564378795</v>
      </c>
      <c r="E87" s="42">
        <v>347.80388805810725</v>
      </c>
      <c r="F87">
        <f t="shared" si="7"/>
        <v>-58869.13663136692</v>
      </c>
      <c r="G87">
        <f t="shared" si="8"/>
        <v>6862.0462660603653</v>
      </c>
      <c r="H87">
        <f t="shared" si="9"/>
        <v>9847.6061281167022</v>
      </c>
      <c r="I87">
        <f t="shared" si="10"/>
        <v>25582.625812555314</v>
      </c>
      <c r="J87">
        <f t="shared" si="11"/>
        <v>13945.079500717184</v>
      </c>
      <c r="K87">
        <f t="shared" si="12"/>
        <v>25454.346140934475</v>
      </c>
      <c r="L87" s="42">
        <f t="shared" si="13"/>
        <v>-1216.7665908150921</v>
      </c>
    </row>
    <row r="88" spans="2:12">
      <c r="B88" s="42">
        <v>0.19483321634571368</v>
      </c>
      <c r="C88" s="42">
        <v>55330.51545762505</v>
      </c>
      <c r="D88" s="42">
        <v>479.77996154667807</v>
      </c>
      <c r="E88" s="42">
        <v>348.2204657124546</v>
      </c>
      <c r="F88">
        <f t="shared" si="7"/>
        <v>-55330.51545762505</v>
      </c>
      <c r="G88">
        <f t="shared" si="8"/>
        <v>7366.740012817776</v>
      </c>
      <c r="H88">
        <f t="shared" si="9"/>
        <v>10524.167912839137</v>
      </c>
      <c r="I88">
        <f t="shared" si="10"/>
        <v>26635.654774620809</v>
      </c>
      <c r="J88">
        <f t="shared" si="11"/>
        <v>14563.439436017947</v>
      </c>
      <c r="K88">
        <f t="shared" si="12"/>
        <v>26094.526810510575</v>
      </c>
      <c r="L88" s="42">
        <f t="shared" si="13"/>
        <v>-8317.1925410643635</v>
      </c>
    </row>
    <row r="89" spans="2:12">
      <c r="B89" s="42">
        <v>0.10404370250556963</v>
      </c>
      <c r="C89" s="42">
        <v>59346.903897213662</v>
      </c>
      <c r="D89" s="42">
        <v>517.87316507461776</v>
      </c>
      <c r="E89" s="42">
        <v>350.38575395977659</v>
      </c>
      <c r="F89">
        <f t="shared" si="7"/>
        <v>-59346.903897213662</v>
      </c>
      <c r="G89">
        <f t="shared" si="8"/>
        <v>9898.1344035157344</v>
      </c>
      <c r="H89">
        <f t="shared" si="9"/>
        <v>13917.832270271927</v>
      </c>
      <c r="I89">
        <f t="shared" si="10"/>
        <v>31920.105594042787</v>
      </c>
      <c r="J89">
        <f t="shared" si="11"/>
        <v>17666.231879635001</v>
      </c>
      <c r="K89">
        <f t="shared" si="12"/>
        <v>29308.150273140658</v>
      </c>
      <c r="L89" s="42">
        <f t="shared" si="13"/>
        <v>14513.869681611544</v>
      </c>
    </row>
    <row r="90" spans="2:12">
      <c r="B90" s="42">
        <v>0.1881740775780511</v>
      </c>
      <c r="C90" s="42">
        <v>55627.00277718436</v>
      </c>
      <c r="D90" s="42">
        <v>465.61326944792017</v>
      </c>
      <c r="E90" s="42">
        <v>348.85982848597672</v>
      </c>
      <c r="F90">
        <f t="shared" si="7"/>
        <v>-55627.00277718436</v>
      </c>
      <c r="G90">
        <f t="shared" si="8"/>
        <v>6309.7558519241938</v>
      </c>
      <c r="H90">
        <f t="shared" si="9"/>
        <v>9111.838435010839</v>
      </c>
      <c r="I90">
        <f t="shared" si="10"/>
        <v>24485.479293191325</v>
      </c>
      <c r="J90">
        <f t="shared" si="11"/>
        <v>13293.954893642996</v>
      </c>
      <c r="K90">
        <f t="shared" si="12"/>
        <v>24806.938688314465</v>
      </c>
      <c r="L90" s="42">
        <f t="shared" si="13"/>
        <v>-12119.549796410334</v>
      </c>
    </row>
    <row r="91" spans="2:12">
      <c r="B91" s="42">
        <v>0.16684163945432906</v>
      </c>
      <c r="C91" s="42">
        <v>59615.466780602437</v>
      </c>
      <c r="D91" s="42">
        <v>452.87484359263891</v>
      </c>
      <c r="E91" s="42">
        <v>367.8972746971038</v>
      </c>
      <c r="F91">
        <f t="shared" si="7"/>
        <v>-59615.466780602437</v>
      </c>
      <c r="G91">
        <f t="shared" si="8"/>
        <v>3882.3319193090597</v>
      </c>
      <c r="H91">
        <f t="shared" si="9"/>
        <v>5921.793572801902</v>
      </c>
      <c r="I91">
        <f t="shared" si="10"/>
        <v>20188.876003295994</v>
      </c>
      <c r="J91">
        <f t="shared" si="11"/>
        <v>10675.454573198644</v>
      </c>
      <c r="K91">
        <f t="shared" si="12"/>
        <v>22467.560655537578</v>
      </c>
      <c r="L91" s="42">
        <f t="shared" si="13"/>
        <v>-23084.83885273098</v>
      </c>
    </row>
    <row r="92" spans="2:12">
      <c r="B92" s="42">
        <v>0.18861354411450545</v>
      </c>
      <c r="C92" s="42">
        <v>59144.413586840419</v>
      </c>
      <c r="D92" s="42">
        <v>499.9801629688406</v>
      </c>
      <c r="E92" s="42">
        <v>354.29517502365184</v>
      </c>
      <c r="F92">
        <f t="shared" si="7"/>
        <v>-59144.413586840419</v>
      </c>
      <c r="G92">
        <f t="shared" si="8"/>
        <v>8314.9775688955378</v>
      </c>
      <c r="H92">
        <f t="shared" si="9"/>
        <v>11811.417279580066</v>
      </c>
      <c r="I92">
        <f t="shared" si="10"/>
        <v>28807.321390423291</v>
      </c>
      <c r="J92">
        <f t="shared" si="11"/>
        <v>15814.680013428146</v>
      </c>
      <c r="K92">
        <f t="shared" si="12"/>
        <v>27483.363139744255</v>
      </c>
      <c r="L92" s="42">
        <f t="shared" si="13"/>
        <v>-7126.6408520532641</v>
      </c>
    </row>
    <row r="93" spans="2:12">
      <c r="B93" s="42">
        <v>0.14717856379894406</v>
      </c>
      <c r="C93" s="42">
        <v>55433.668019653924</v>
      </c>
      <c r="D93" s="42">
        <v>480.98239082003232</v>
      </c>
      <c r="E93" s="42">
        <v>328.90530106509595</v>
      </c>
      <c r="F93">
        <f t="shared" si="7"/>
        <v>-55433.668019653924</v>
      </c>
      <c r="G93">
        <f t="shared" si="8"/>
        <v>8997.3256630146207</v>
      </c>
      <c r="H93">
        <f t="shared" si="9"/>
        <v>12647.175817133091</v>
      </c>
      <c r="I93">
        <f t="shared" si="10"/>
        <v>29283.550523392434</v>
      </c>
      <c r="J93">
        <f t="shared" si="11"/>
        <v>16212.061525315105</v>
      </c>
      <c r="K93">
        <f t="shared" si="12"/>
        <v>27436.511123996701</v>
      </c>
      <c r="L93" s="42">
        <f t="shared" si="13"/>
        <v>4586.5334737705689</v>
      </c>
    </row>
    <row r="94" spans="2:12">
      <c r="B94" s="42">
        <v>0.15817743461409345</v>
      </c>
      <c r="C94" s="42">
        <v>57288.888210699792</v>
      </c>
      <c r="D94" s="42">
        <v>474.10351878414258</v>
      </c>
      <c r="E94" s="42">
        <v>335.66057313760797</v>
      </c>
      <c r="F94">
        <f t="shared" si="7"/>
        <v>-57288.888210699792</v>
      </c>
      <c r="G94">
        <f t="shared" si="8"/>
        <v>7968.5039826654856</v>
      </c>
      <c r="H94">
        <f t="shared" si="9"/>
        <v>11291.134678182316</v>
      </c>
      <c r="I94">
        <f t="shared" si="10"/>
        <v>27414.560380870997</v>
      </c>
      <c r="J94">
        <f t="shared" si="11"/>
        <v>15080.056764427623</v>
      </c>
      <c r="K94">
        <f t="shared" si="12"/>
        <v>26398.832972197637</v>
      </c>
      <c r="L94" s="42">
        <f t="shared" si="13"/>
        <v>-3295.5364376405269</v>
      </c>
    </row>
    <row r="95" spans="2:12">
      <c r="B95" s="42">
        <v>0.14005859553819391</v>
      </c>
      <c r="C95" s="42">
        <v>55634.479812005979</v>
      </c>
      <c r="D95" s="42">
        <v>527.12027344584487</v>
      </c>
      <c r="E95" s="42">
        <v>352.61818292794578</v>
      </c>
      <c r="F95">
        <f t="shared" si="7"/>
        <v>-55634.479812005979</v>
      </c>
      <c r="G95">
        <f t="shared" si="8"/>
        <v>10376.084780419325</v>
      </c>
      <c r="H95">
        <f t="shared" si="9"/>
        <v>14564.134952848905</v>
      </c>
      <c r="I95">
        <f t="shared" si="10"/>
        <v>32984.432508316291</v>
      </c>
      <c r="J95">
        <f t="shared" si="11"/>
        <v>18282.888882106996</v>
      </c>
      <c r="K95">
        <f t="shared" si="12"/>
        <v>29979.020355845816</v>
      </c>
      <c r="L95" s="42">
        <f t="shared" si="13"/>
        <v>13321.353374895338</v>
      </c>
    </row>
    <row r="96" spans="2:12">
      <c r="B96" s="42">
        <v>0.17493514816736352</v>
      </c>
      <c r="C96" s="42">
        <v>55146.18366039003</v>
      </c>
      <c r="D96" s="42">
        <v>498.62208929715871</v>
      </c>
      <c r="E96" s="42">
        <v>328.14081240272225</v>
      </c>
      <c r="F96">
        <f t="shared" si="7"/>
        <v>-55146.18366039003</v>
      </c>
      <c r="G96">
        <f t="shared" si="8"/>
        <v>10310.903347880489</v>
      </c>
      <c r="H96">
        <f t="shared" si="9"/>
        <v>14402.453993346964</v>
      </c>
      <c r="I96">
        <f t="shared" si="10"/>
        <v>31956.801049836722</v>
      </c>
      <c r="J96">
        <f t="shared" si="11"/>
        <v>17790.234687337866</v>
      </c>
      <c r="K96">
        <f t="shared" si="12"/>
        <v>29037.731864375743</v>
      </c>
      <c r="L96" s="42">
        <f t="shared" si="13"/>
        <v>6068.8944787738728</v>
      </c>
    </row>
    <row r="97" spans="2:12">
      <c r="B97" s="42">
        <v>0.10330210272530291</v>
      </c>
      <c r="C97" s="42">
        <v>56307.260353404337</v>
      </c>
      <c r="D97" s="42">
        <v>459.41190832239755</v>
      </c>
      <c r="E97" s="42">
        <v>333.19925534836881</v>
      </c>
      <c r="F97">
        <f t="shared" si="7"/>
        <v>-56307.260353404337</v>
      </c>
      <c r="G97">
        <f t="shared" si="8"/>
        <v>7122.3050630207235</v>
      </c>
      <c r="H97">
        <f t="shared" si="9"/>
        <v>10151.408734397413</v>
      </c>
      <c r="I97">
        <f t="shared" si="10"/>
        <v>25584.633930478834</v>
      </c>
      <c r="J97">
        <f t="shared" si="11"/>
        <v>14013.483687856686</v>
      </c>
      <c r="K97">
        <f t="shared" si="12"/>
        <v>25263.495590075378</v>
      </c>
      <c r="L97" s="42">
        <f t="shared" si="13"/>
        <v>2448.2975370658933</v>
      </c>
    </row>
    <row r="98" spans="2:12">
      <c r="B98" s="42">
        <v>0.14552140873439742</v>
      </c>
      <c r="C98" s="42">
        <v>55376.445814386425</v>
      </c>
      <c r="D98" s="42">
        <v>500.30365916928616</v>
      </c>
      <c r="E98" s="42">
        <v>365.699942014832</v>
      </c>
      <c r="F98">
        <f t="shared" si="7"/>
        <v>-55376.445814386425</v>
      </c>
      <c r="G98">
        <f t="shared" si="8"/>
        <v>7425.5644398327586</v>
      </c>
      <c r="H98">
        <f t="shared" si="9"/>
        <v>10656.05365153966</v>
      </c>
      <c r="I98">
        <f t="shared" si="10"/>
        <v>27394.741660817279</v>
      </c>
      <c r="J98">
        <f t="shared" si="11"/>
        <v>14930.119327372053</v>
      </c>
      <c r="K98">
        <f t="shared" si="12"/>
        <v>26781.925717947932</v>
      </c>
      <c r="L98" s="42">
        <f t="shared" si="13"/>
        <v>-300.66034013833269</v>
      </c>
    </row>
    <row r="99" spans="2:12">
      <c r="B99" s="42">
        <v>0.10793786431470688</v>
      </c>
      <c r="C99" s="42">
        <v>57099.368266853846</v>
      </c>
      <c r="D99" s="42">
        <v>510.32593768120364</v>
      </c>
      <c r="E99" s="42">
        <v>322.51167332987455</v>
      </c>
      <c r="F99">
        <f t="shared" si="7"/>
        <v>-57099.368266853846</v>
      </c>
      <c r="G99">
        <f t="shared" si="8"/>
        <v>11592.207708975493</v>
      </c>
      <c r="H99">
        <f t="shared" si="9"/>
        <v>16099.750053407395</v>
      </c>
      <c r="I99">
        <f t="shared" si="10"/>
        <v>34386.092715231789</v>
      </c>
      <c r="J99">
        <f t="shared" si="11"/>
        <v>19247.096774193546</v>
      </c>
      <c r="K99">
        <f t="shared" si="12"/>
        <v>30427.935422833951</v>
      </c>
      <c r="L99" s="42">
        <f t="shared" si="13"/>
        <v>22762.057558299814</v>
      </c>
    </row>
    <row r="100" spans="2:12">
      <c r="B100" s="42">
        <v>0.19034394360179449</v>
      </c>
      <c r="C100" s="42">
        <v>56180.608539078952</v>
      </c>
      <c r="D100" s="42">
        <v>524.69405194250317</v>
      </c>
      <c r="E100" s="42">
        <v>322.1179845576342</v>
      </c>
      <c r="F100">
        <f t="shared" si="7"/>
        <v>-56180.608539078952</v>
      </c>
      <c r="G100">
        <f t="shared" si="8"/>
        <v>12643.838923306985</v>
      </c>
      <c r="H100">
        <f t="shared" si="9"/>
        <v>17505.664540543839</v>
      </c>
      <c r="I100">
        <f t="shared" si="10"/>
        <v>36534.22956022829</v>
      </c>
      <c r="J100">
        <f t="shared" si="11"/>
        <v>20514.249702444533</v>
      </c>
      <c r="K100">
        <f t="shared" si="12"/>
        <v>31717.525559251691</v>
      </c>
      <c r="L100" s="42">
        <f t="shared" si="13"/>
        <v>11947.3549465551</v>
      </c>
    </row>
    <row r="101" spans="2:12">
      <c r="B101" s="42">
        <v>0.17355571153904845</v>
      </c>
      <c r="C101" s="42">
        <v>59169.438764610735</v>
      </c>
      <c r="D101" s="42">
        <v>470.70986053041167</v>
      </c>
      <c r="E101" s="42">
        <v>339.21292764061405</v>
      </c>
      <c r="F101">
        <f t="shared" si="7"/>
        <v>-59169.438764610735</v>
      </c>
      <c r="G101">
        <f t="shared" si="8"/>
        <v>7443.3658864101053</v>
      </c>
      <c r="H101">
        <f t="shared" si="9"/>
        <v>10599.292275765247</v>
      </c>
      <c r="I101">
        <f t="shared" si="10"/>
        <v>26464.384899441506</v>
      </c>
      <c r="J101">
        <f t="shared" si="11"/>
        <v>14504.013794366279</v>
      </c>
      <c r="K101">
        <f t="shared" si="12"/>
        <v>25872.840357676927</v>
      </c>
      <c r="L101" s="42">
        <f t="shared" si="13"/>
        <v>-9487.0570406052848</v>
      </c>
    </row>
    <row r="102" spans="2:12">
      <c r="B102" s="42">
        <v>0.16442152165288249</v>
      </c>
      <c r="C102" s="42">
        <v>59121.52470473342</v>
      </c>
      <c r="D102" s="42">
        <v>548.07123020111703</v>
      </c>
      <c r="E102" s="42">
        <v>337.04000976592306</v>
      </c>
      <c r="F102">
        <f t="shared" si="7"/>
        <v>-59121.52470473342</v>
      </c>
      <c r="G102">
        <f t="shared" si="8"/>
        <v>13109.856563005465</v>
      </c>
      <c r="H102">
        <f t="shared" si="9"/>
        <v>18174.605853450121</v>
      </c>
      <c r="I102">
        <f t="shared" si="10"/>
        <v>38037.278359324933</v>
      </c>
      <c r="J102">
        <f t="shared" si="11"/>
        <v>21330.925016022218</v>
      </c>
      <c r="K102">
        <f t="shared" si="12"/>
        <v>32819.707632679223</v>
      </c>
      <c r="L102" s="42">
        <f t="shared" si="13"/>
        <v>16568.224733130475</v>
      </c>
    </row>
    <row r="103" spans="2:12">
      <c r="B103" s="42">
        <v>0.12494582964568011</v>
      </c>
      <c r="C103" s="42">
        <v>56819.97131260109</v>
      </c>
      <c r="D103" s="42">
        <v>471.46061586352124</v>
      </c>
      <c r="E103" s="42">
        <v>330.6769005401776</v>
      </c>
      <c r="F103">
        <f t="shared" si="7"/>
        <v>-56819.97131260109</v>
      </c>
      <c r="G103">
        <f t="shared" si="8"/>
        <v>8179.5516830957995</v>
      </c>
      <c r="H103">
        <f t="shared" si="9"/>
        <v>11558.360850856046</v>
      </c>
      <c r="I103">
        <f t="shared" si="10"/>
        <v>27666.606646931366</v>
      </c>
      <c r="J103">
        <f t="shared" si="11"/>
        <v>15251.460921048618</v>
      </c>
      <c r="K103">
        <f t="shared" si="12"/>
        <v>26485.212561418502</v>
      </c>
      <c r="L103" s="42">
        <f t="shared" si="13"/>
        <v>3242.6487654063458</v>
      </c>
    </row>
    <row r="104" spans="2:12">
      <c r="B104" s="42">
        <v>0.13008514664143803</v>
      </c>
      <c r="C104" s="42">
        <v>55077.974791711174</v>
      </c>
      <c r="D104" s="42">
        <v>479.76165044099247</v>
      </c>
      <c r="E104" s="42">
        <v>360.06317331461531</v>
      </c>
      <c r="F104">
        <f t="shared" si="7"/>
        <v>-55077.974791711174</v>
      </c>
      <c r="G104">
        <f t="shared" si="8"/>
        <v>6418.0233161412398</v>
      </c>
      <c r="H104">
        <f t="shared" si="9"/>
        <v>9290.7867671742933</v>
      </c>
      <c r="I104">
        <f t="shared" si="10"/>
        <v>25117.114780114141</v>
      </c>
      <c r="J104">
        <f t="shared" si="11"/>
        <v>13614.448072756128</v>
      </c>
      <c r="K104">
        <f t="shared" si="12"/>
        <v>25334.982146671959</v>
      </c>
      <c r="L104" s="42">
        <f t="shared" si="13"/>
        <v>-2627.1840656679287</v>
      </c>
    </row>
    <row r="105" spans="2:12">
      <c r="B105" s="42">
        <v>0.14627826776940214</v>
      </c>
      <c r="C105" s="42">
        <v>57345.652638325148</v>
      </c>
      <c r="D105" s="42">
        <v>534.82619708853417</v>
      </c>
      <c r="E105" s="42">
        <v>351.05716116824857</v>
      </c>
      <c r="F105">
        <f t="shared" si="7"/>
        <v>-57345.652638325148</v>
      </c>
      <c r="G105">
        <f t="shared" si="8"/>
        <v>11048.08709982604</v>
      </c>
      <c r="H105">
        <f t="shared" si="9"/>
        <v>15458.543961912899</v>
      </c>
      <c r="I105">
        <f t="shared" si="10"/>
        <v>34309.308145390176</v>
      </c>
      <c r="J105">
        <f t="shared" si="11"/>
        <v>19070.480056154054</v>
      </c>
      <c r="K105">
        <f t="shared" si="12"/>
        <v>30757.047029023099</v>
      </c>
      <c r="L105" s="42">
        <f t="shared" si="13"/>
        <v>13424.309516556184</v>
      </c>
    </row>
    <row r="106" spans="2:12">
      <c r="B106" s="42">
        <v>0.17764213995788447</v>
      </c>
      <c r="C106" s="42">
        <v>59118.167668691058</v>
      </c>
      <c r="D106" s="42">
        <v>533.58714560380872</v>
      </c>
      <c r="E106" s="42">
        <v>335.51866206854459</v>
      </c>
      <c r="F106">
        <f t="shared" si="7"/>
        <v>-59118.167668691058</v>
      </c>
      <c r="G106">
        <f t="shared" si="8"/>
        <v>12203.194372386854</v>
      </c>
      <c r="H106">
        <f t="shared" si="9"/>
        <v>16956.837977233197</v>
      </c>
      <c r="I106">
        <f t="shared" si="10"/>
        <v>36117.33451338236</v>
      </c>
      <c r="J106">
        <f t="shared" si="11"/>
        <v>20207.001556443982</v>
      </c>
      <c r="K106">
        <f t="shared" si="12"/>
        <v>31642.474440748312</v>
      </c>
      <c r="L106" s="42">
        <f t="shared" si="13"/>
        <v>10062.111870674995</v>
      </c>
    </row>
    <row r="107" spans="2:12">
      <c r="B107" s="42">
        <v>0.16945707571642202</v>
      </c>
      <c r="C107" s="42">
        <v>56122.775963621934</v>
      </c>
      <c r="D107" s="42">
        <v>483.88470107119969</v>
      </c>
      <c r="E107" s="42">
        <v>350.10345774712363</v>
      </c>
      <c r="F107">
        <f t="shared" si="7"/>
        <v>-56122.775963621934</v>
      </c>
      <c r="G107">
        <f t="shared" si="8"/>
        <v>7507.5371562852879</v>
      </c>
      <c r="H107">
        <f t="shared" si="9"/>
        <v>10718.286996063114</v>
      </c>
      <c r="I107">
        <f t="shared" si="10"/>
        <v>26993.923764763327</v>
      </c>
      <c r="J107">
        <f t="shared" si="11"/>
        <v>14765.807672353283</v>
      </c>
      <c r="K107">
        <f t="shared" si="12"/>
        <v>26335.232398449662</v>
      </c>
      <c r="L107" s="42">
        <f t="shared" si="13"/>
        <v>-5054.1582612975926</v>
      </c>
    </row>
    <row r="108" spans="2:12">
      <c r="B108" s="42">
        <v>0.10909146397289957</v>
      </c>
      <c r="C108" s="42">
        <v>57565.080721457562</v>
      </c>
      <c r="D108" s="42">
        <v>527.95953245643477</v>
      </c>
      <c r="E108" s="42">
        <v>356.51997436445203</v>
      </c>
      <c r="F108">
        <f t="shared" si="7"/>
        <v>-57565.080721457562</v>
      </c>
      <c r="G108">
        <f t="shared" si="8"/>
        <v>10123.528855250708</v>
      </c>
      <c r="H108">
        <f t="shared" si="9"/>
        <v>14238.078249458296</v>
      </c>
      <c r="I108">
        <f t="shared" si="10"/>
        <v>32607.53501998962</v>
      </c>
      <c r="J108">
        <f t="shared" si="11"/>
        <v>18042.921842097232</v>
      </c>
      <c r="K108">
        <f t="shared" si="12"/>
        <v>29803.16049684133</v>
      </c>
      <c r="L108" s="42">
        <f t="shared" si="13"/>
        <v>16722.270633355518</v>
      </c>
    </row>
    <row r="109" spans="2:12">
      <c r="B109" s="42">
        <v>0.17651905880916777</v>
      </c>
      <c r="C109" s="42">
        <v>56476.638080996127</v>
      </c>
      <c r="D109" s="42">
        <v>456.67744987334817</v>
      </c>
      <c r="E109" s="42">
        <v>349.5266579180273</v>
      </c>
      <c r="F109">
        <f t="shared" si="7"/>
        <v>-56476.638080996127</v>
      </c>
      <c r="G109">
        <f t="shared" si="8"/>
        <v>5621.9663075655371</v>
      </c>
      <c r="H109">
        <f t="shared" si="9"/>
        <v>8193.5853144932371</v>
      </c>
      <c r="I109">
        <f t="shared" si="10"/>
        <v>23095.49546800134</v>
      </c>
      <c r="J109">
        <f t="shared" si="11"/>
        <v>12472.128055665758</v>
      </c>
      <c r="K109">
        <f t="shared" si="12"/>
        <v>23977.909482100891</v>
      </c>
      <c r="L109" s="42">
        <f t="shared" si="13"/>
        <v>-14450.627350539802</v>
      </c>
    </row>
    <row r="110" spans="2:12">
      <c r="B110" s="42">
        <v>0.17046723838007752</v>
      </c>
      <c r="C110" s="42">
        <v>58046.510208441417</v>
      </c>
      <c r="D110" s="42">
        <v>500.12970366527298</v>
      </c>
      <c r="E110" s="42">
        <v>320.43641468550675</v>
      </c>
      <c r="F110">
        <f t="shared" si="7"/>
        <v>-58046.510208441417</v>
      </c>
      <c r="G110">
        <f t="shared" si="8"/>
        <v>11034.295785393842</v>
      </c>
      <c r="H110">
        <f t="shared" si="9"/>
        <v>15346.93472090823</v>
      </c>
      <c r="I110">
        <f t="shared" si="10"/>
        <v>33163.075655384993</v>
      </c>
      <c r="J110">
        <f t="shared" si="11"/>
        <v>18536.241340372937</v>
      </c>
      <c r="K110">
        <f t="shared" si="12"/>
        <v>29663.483382671591</v>
      </c>
      <c r="L110" s="42">
        <f t="shared" si="13"/>
        <v>6643.1457537610258</v>
      </c>
    </row>
    <row r="111" spans="2:12">
      <c r="B111" s="42">
        <v>0.18428601947080905</v>
      </c>
      <c r="C111" s="42">
        <v>56354.258857997374</v>
      </c>
      <c r="D111" s="42">
        <v>493.595690786462</v>
      </c>
      <c r="E111" s="42">
        <v>322.82601397747732</v>
      </c>
      <c r="F111">
        <f t="shared" si="7"/>
        <v>-56354.258857997374</v>
      </c>
      <c r="G111">
        <f t="shared" si="8"/>
        <v>10379.212927640619</v>
      </c>
      <c r="H111">
        <f t="shared" si="9"/>
        <v>14477.685171056248</v>
      </c>
      <c r="I111">
        <f t="shared" si="10"/>
        <v>31903.241065706356</v>
      </c>
      <c r="J111">
        <f t="shared" si="11"/>
        <v>17783.148289437548</v>
      </c>
      <c r="K111">
        <f t="shared" si="12"/>
        <v>28935.555894650108</v>
      </c>
      <c r="L111" s="42">
        <f t="shared" si="13"/>
        <v>3400.6831877579589</v>
      </c>
    </row>
    <row r="112" spans="2:12">
      <c r="B112" s="42">
        <v>0.15287636951811273</v>
      </c>
      <c r="C112" s="42">
        <v>55799.432355723744</v>
      </c>
      <c r="D112" s="42">
        <v>453.79650257881406</v>
      </c>
      <c r="E112" s="42">
        <v>350.54902798547317</v>
      </c>
      <c r="F112">
        <f t="shared" si="7"/>
        <v>-55799.432355723744</v>
      </c>
      <c r="G112">
        <f t="shared" si="8"/>
        <v>5335.6294442579438</v>
      </c>
      <c r="H112">
        <f t="shared" si="9"/>
        <v>7813.5688344981254</v>
      </c>
      <c r="I112">
        <f t="shared" si="10"/>
        <v>22544.013794366285</v>
      </c>
      <c r="J112">
        <f t="shared" si="11"/>
        <v>12142.576982940156</v>
      </c>
      <c r="K112">
        <f t="shared" si="12"/>
        <v>23658.954435865355</v>
      </c>
      <c r="L112" s="42">
        <f t="shared" si="13"/>
        <v>-12090.004115171181</v>
      </c>
    </row>
    <row r="113" spans="2:12">
      <c r="B113" s="42">
        <v>0.17589648121585744</v>
      </c>
      <c r="C113" s="42">
        <v>56334.727011932737</v>
      </c>
      <c r="D113" s="42">
        <v>465.20737327188942</v>
      </c>
      <c r="E113" s="42">
        <v>346.96157719656969</v>
      </c>
      <c r="F113">
        <f t="shared" si="7"/>
        <v>-56334.727011932737</v>
      </c>
      <c r="G113">
        <f t="shared" si="8"/>
        <v>6432.7973265785749</v>
      </c>
      <c r="H113">
        <f t="shared" si="9"/>
        <v>9270.6964323862485</v>
      </c>
      <c r="I113">
        <f t="shared" si="10"/>
        <v>24669.194616534936</v>
      </c>
      <c r="J113">
        <f t="shared" si="11"/>
        <v>13410.907925656915</v>
      </c>
      <c r="K113">
        <f t="shared" si="12"/>
        <v>24892.707907345808</v>
      </c>
      <c r="L113" s="42">
        <f t="shared" si="13"/>
        <v>-10901.114667742446</v>
      </c>
    </row>
    <row r="114" spans="2:12">
      <c r="B114" s="42">
        <v>0.19364604632709739</v>
      </c>
      <c r="C114" s="42">
        <v>57019.714957121498</v>
      </c>
      <c r="D114" s="42">
        <v>463.48918118839077</v>
      </c>
      <c r="E114" s="42">
        <v>341.22562334055607</v>
      </c>
      <c r="F114">
        <f t="shared" si="7"/>
        <v>-57019.714957121498</v>
      </c>
      <c r="G114">
        <f t="shared" si="8"/>
        <v>6769.6819971312607</v>
      </c>
      <c r="H114">
        <f t="shared" si="9"/>
        <v>9704.0073854792936</v>
      </c>
      <c r="I114">
        <f t="shared" si="10"/>
        <v>25152.540665913875</v>
      </c>
      <c r="J114">
        <f t="shared" si="11"/>
        <v>13722.019714957121</v>
      </c>
      <c r="K114">
        <f t="shared" si="12"/>
        <v>25108.608050782801</v>
      </c>
      <c r="L114" s="42">
        <f t="shared" si="13"/>
        <v>-12626.348774075299</v>
      </c>
    </row>
    <row r="115" spans="2:12">
      <c r="B115" s="42">
        <v>0.11039155247657705</v>
      </c>
      <c r="C115" s="42">
        <v>56010.010071108125</v>
      </c>
      <c r="D115" s="42">
        <v>495.46647541734063</v>
      </c>
      <c r="E115" s="42">
        <v>366.20349742118594</v>
      </c>
      <c r="F115">
        <f t="shared" si="7"/>
        <v>-56010.010071108125</v>
      </c>
      <c r="G115">
        <f t="shared" si="8"/>
        <v>7041.8399609363114</v>
      </c>
      <c r="H115">
        <f t="shared" si="9"/>
        <v>10144.151432844021</v>
      </c>
      <c r="I115">
        <f t="shared" si="10"/>
        <v>26624.057741019933</v>
      </c>
      <c r="J115">
        <f t="shared" si="11"/>
        <v>14473.83709219642</v>
      </c>
      <c r="K115">
        <f t="shared" si="12"/>
        <v>26324.026001770075</v>
      </c>
      <c r="L115" s="42">
        <f t="shared" si="13"/>
        <v>3121.2907220515881</v>
      </c>
    </row>
    <row r="116" spans="2:12">
      <c r="B116" s="42">
        <v>0.10889919736320079</v>
      </c>
      <c r="C116" s="42">
        <v>57530.594805749686</v>
      </c>
      <c r="D116" s="42">
        <v>495.97308267464217</v>
      </c>
      <c r="E116" s="42">
        <v>368.12921536912137</v>
      </c>
      <c r="F116">
        <f t="shared" si="7"/>
        <v>-57530.594805749686</v>
      </c>
      <c r="G116">
        <f t="shared" si="8"/>
        <v>6923.7516403698837</v>
      </c>
      <c r="H116">
        <f t="shared" si="9"/>
        <v>9992.0044557023848</v>
      </c>
      <c r="I116">
        <f t="shared" si="10"/>
        <v>26451.530503250222</v>
      </c>
      <c r="J116">
        <f t="shared" si="11"/>
        <v>14363.347880489517</v>
      </c>
      <c r="K116">
        <f t="shared" si="12"/>
        <v>26245.361491744741</v>
      </c>
      <c r="L116" s="42">
        <f t="shared" si="13"/>
        <v>1389.8579251902993</v>
      </c>
    </row>
    <row r="117" spans="2:12">
      <c r="B117" s="42">
        <v>0.14091921750541705</v>
      </c>
      <c r="C117" s="42">
        <v>58264.870143742177</v>
      </c>
      <c r="D117" s="42">
        <v>524.4438001648</v>
      </c>
      <c r="E117" s="42">
        <v>356.27124851222266</v>
      </c>
      <c r="F117">
        <f t="shared" si="7"/>
        <v>-58264.870143742177</v>
      </c>
      <c r="G117">
        <f t="shared" si="8"/>
        <v>9893.8099307229859</v>
      </c>
      <c r="H117">
        <f t="shared" si="9"/>
        <v>13929.951170384848</v>
      </c>
      <c r="I117">
        <f t="shared" si="10"/>
        <v>32126.075014496302</v>
      </c>
      <c r="J117">
        <f t="shared" si="11"/>
        <v>17760.466933194988</v>
      </c>
      <c r="K117">
        <f t="shared" si="12"/>
        <v>29509.69450972015</v>
      </c>
      <c r="L117" s="42">
        <f t="shared" si="13"/>
        <v>8486.6578846223165</v>
      </c>
    </row>
    <row r="118" spans="2:12">
      <c r="B118" s="42">
        <v>0.19089632862331005</v>
      </c>
      <c r="C118" s="42">
        <v>57557.145908993807</v>
      </c>
      <c r="D118" s="42">
        <v>541.18625446333203</v>
      </c>
      <c r="E118" s="42">
        <v>361.61961729789118</v>
      </c>
      <c r="F118">
        <f t="shared" ref="F118:F181" si="14">-C118</f>
        <v>-57557.145908993807</v>
      </c>
      <c r="G118">
        <f t="shared" ref="G118:G181" si="15">((D118-E118)*$E$14-$E$18-$E$20)*(1-0.2)+$E$20-0.3*($F$14*D118-$E$14*D118)</f>
        <v>10654.654683065279</v>
      </c>
      <c r="H118">
        <f t="shared" ref="H118:H181" si="16">($F$14*(D118-E118)-$F$18-$F$20)*0.8+$F$20-0.3*($G$14*D118-$F$14*D118)</f>
        <v>14964.253975035857</v>
      </c>
      <c r="I118">
        <f t="shared" ref="I118:I181" si="17">($G$14*(D118-E118)-$G$18-$G$20)*0.8+$H$20-0.3*($H$14*D118-$G$14*D118)</f>
        <v>33885.882137516412</v>
      </c>
      <c r="J118">
        <f t="shared" ref="J118:J181" si="18">($H$14*(D118-E118)-$H$18-$H$20)*0.8+$H$20-0.3*($I$14*D118-$H$14*D118)</f>
        <v>18772.44850001526</v>
      </c>
      <c r="K118">
        <f t="shared" ref="K118:K181" si="19">($I$14*(D118-E118)-$I$18-$I$20)*0.8+$I$20+$I$14*D118*0.3+$I$31</f>
        <v>30640.734885708182</v>
      </c>
      <c r="L118" s="42">
        <f t="shared" ref="L118:L181" si="20">F118+G118/(1+B118)^1+H118/(1+B118)^2+I118/(1+B118)^3+J118/(1+B118)^4+K118/(1+B118)^5</f>
        <v>4128.799657186577</v>
      </c>
    </row>
    <row r="119" spans="2:12">
      <c r="B119" s="42">
        <v>0.16688741721854305</v>
      </c>
      <c r="C119" s="42">
        <v>58488.723410748622</v>
      </c>
      <c r="D119" s="42">
        <v>458.08130130924405</v>
      </c>
      <c r="E119" s="42">
        <v>356.63594470046081</v>
      </c>
      <c r="F119">
        <f t="shared" si="14"/>
        <v>-58488.723410748622</v>
      </c>
      <c r="G119">
        <f t="shared" si="15"/>
        <v>5152.8968169194623</v>
      </c>
      <c r="H119">
        <f t="shared" si="16"/>
        <v>7587.5853755302651</v>
      </c>
      <c r="I119">
        <f t="shared" si="17"/>
        <v>22390.469069490646</v>
      </c>
      <c r="J119">
        <f t="shared" si="18"/>
        <v>12024.116336558125</v>
      </c>
      <c r="K119">
        <f t="shared" si="19"/>
        <v>23646.454054383983</v>
      </c>
      <c r="L119" s="42">
        <f t="shared" si="20"/>
        <v>-16992.791350359177</v>
      </c>
    </row>
    <row r="120" spans="2:12">
      <c r="B120" s="42">
        <v>0.11911374248481704</v>
      </c>
      <c r="C120" s="42">
        <v>55884.273812067018</v>
      </c>
      <c r="D120" s="42">
        <v>535.27176732688372</v>
      </c>
      <c r="E120" s="42">
        <v>352.24127933591723</v>
      </c>
      <c r="F120">
        <f t="shared" si="14"/>
        <v>-55884.273812067018</v>
      </c>
      <c r="G120">
        <f t="shared" si="15"/>
        <v>10984.993133335367</v>
      </c>
      <c r="H120">
        <f t="shared" si="16"/>
        <v>15377.72484511857</v>
      </c>
      <c r="I120">
        <f t="shared" si="17"/>
        <v>34222.794274727617</v>
      </c>
      <c r="J120">
        <f t="shared" si="18"/>
        <v>19014.069643238625</v>
      </c>
      <c r="K120">
        <f t="shared" si="19"/>
        <v>30720.473647267063</v>
      </c>
      <c r="L120" s="42">
        <f t="shared" si="20"/>
        <v>20249.864731282578</v>
      </c>
    </row>
    <row r="121" spans="2:12">
      <c r="B121" s="42">
        <v>0.19793694875942261</v>
      </c>
      <c r="C121" s="42">
        <v>58251.136814477984</v>
      </c>
      <c r="D121" s="42">
        <v>482.31604968413342</v>
      </c>
      <c r="E121" s="42">
        <v>356.93655201879938</v>
      </c>
      <c r="F121">
        <f t="shared" si="14"/>
        <v>-58251.136814477984</v>
      </c>
      <c r="G121">
        <f t="shared" si="15"/>
        <v>6849.5153660695223</v>
      </c>
      <c r="H121">
        <f t="shared" si="16"/>
        <v>9858.623310037543</v>
      </c>
      <c r="I121">
        <f t="shared" si="17"/>
        <v>25890.264595477158</v>
      </c>
      <c r="J121">
        <f t="shared" si="18"/>
        <v>14084.256111331524</v>
      </c>
      <c r="K121">
        <f t="shared" si="19"/>
        <v>25759.873043000582</v>
      </c>
      <c r="L121" s="42">
        <f t="shared" si="20"/>
        <v>-13322.32464674294</v>
      </c>
    </row>
    <row r="122" spans="2:12">
      <c r="B122" s="42">
        <v>0.17658619953001498</v>
      </c>
      <c r="C122" s="42">
        <v>59181.188390758995</v>
      </c>
      <c r="D122" s="42">
        <v>468.57966856898707</v>
      </c>
      <c r="E122" s="42">
        <v>342.91024506363107</v>
      </c>
      <c r="F122">
        <f t="shared" si="14"/>
        <v>-59181.188390758995</v>
      </c>
      <c r="G122">
        <f t="shared" si="15"/>
        <v>6996.3368633075988</v>
      </c>
      <c r="H122">
        <f t="shared" si="16"/>
        <v>10012.403027436139</v>
      </c>
      <c r="I122">
        <f t="shared" si="17"/>
        <v>25680.120242927336</v>
      </c>
      <c r="J122">
        <f t="shared" si="18"/>
        <v>14025.031891842404</v>
      </c>
      <c r="K122">
        <f t="shared" si="19"/>
        <v>25448.755149998477</v>
      </c>
      <c r="L122" s="42">
        <f t="shared" si="20"/>
        <v>-11631.712834408538</v>
      </c>
    </row>
    <row r="123" spans="2:12">
      <c r="B123" s="42">
        <v>0.18042237617114781</v>
      </c>
      <c r="C123" s="42">
        <v>55470.595416119875</v>
      </c>
      <c r="D123" s="42">
        <v>487.90093691824092</v>
      </c>
      <c r="E123" s="42">
        <v>336.05273598437452</v>
      </c>
      <c r="F123">
        <f t="shared" si="14"/>
        <v>-55470.595416119875</v>
      </c>
      <c r="G123">
        <f t="shared" si="15"/>
        <v>8916.7476424451415</v>
      </c>
      <c r="H123">
        <f t="shared" si="16"/>
        <v>12561.104464857934</v>
      </c>
      <c r="I123">
        <f t="shared" si="17"/>
        <v>29378.786584063237</v>
      </c>
      <c r="J123">
        <f t="shared" si="18"/>
        <v>16235.261696218755</v>
      </c>
      <c r="K123">
        <f t="shared" si="19"/>
        <v>27587.90734580523</v>
      </c>
      <c r="L123" s="42">
        <f t="shared" si="20"/>
        <v>-640.99156286871766</v>
      </c>
    </row>
    <row r="124" spans="2:12">
      <c r="B124" s="42">
        <v>0.14423657948545793</v>
      </c>
      <c r="C124" s="42">
        <v>59773.09488204596</v>
      </c>
      <c r="D124" s="42">
        <v>464.69466231269263</v>
      </c>
      <c r="E124" s="42">
        <v>324.69069490646075</v>
      </c>
      <c r="F124">
        <f t="shared" si="14"/>
        <v>-59773.09488204596</v>
      </c>
      <c r="G124">
        <f t="shared" si="15"/>
        <v>8178.0654316843147</v>
      </c>
      <c r="H124">
        <f t="shared" si="16"/>
        <v>11538.160649433881</v>
      </c>
      <c r="I124">
        <f t="shared" si="17"/>
        <v>27445.011749626148</v>
      </c>
      <c r="J124">
        <f t="shared" si="18"/>
        <v>15148.485366374705</v>
      </c>
      <c r="K124">
        <f t="shared" si="19"/>
        <v>26272.92580950346</v>
      </c>
      <c r="L124" s="42">
        <f t="shared" si="20"/>
        <v>-3262.0911798627221</v>
      </c>
    </row>
    <row r="125" spans="2:12">
      <c r="B125" s="42">
        <v>0.19278237250892669</v>
      </c>
      <c r="C125" s="42">
        <v>55608.691671498767</v>
      </c>
      <c r="D125" s="42">
        <v>472.75765251625108</v>
      </c>
      <c r="E125" s="42">
        <v>365.78691976683859</v>
      </c>
      <c r="F125">
        <f t="shared" si="14"/>
        <v>-55608.691671498767</v>
      </c>
      <c r="G125">
        <f t="shared" si="15"/>
        <v>5462.8397473067407</v>
      </c>
      <c r="H125">
        <f t="shared" si="16"/>
        <v>8030.1373332926405</v>
      </c>
      <c r="I125">
        <f t="shared" si="17"/>
        <v>23361.891537217314</v>
      </c>
      <c r="J125">
        <f t="shared" si="18"/>
        <v>12554.204535050507</v>
      </c>
      <c r="K125">
        <f t="shared" si="19"/>
        <v>24352.310556352422</v>
      </c>
      <c r="L125" s="42">
        <f t="shared" si="20"/>
        <v>-15329.544640197922</v>
      </c>
    </row>
    <row r="126" spans="2:12">
      <c r="B126" s="42">
        <v>0.17927182836390271</v>
      </c>
      <c r="C126" s="42">
        <v>57640.766624958036</v>
      </c>
      <c r="D126" s="42">
        <v>455.05386516922516</v>
      </c>
      <c r="E126" s="42">
        <v>362.85561693166903</v>
      </c>
      <c r="F126">
        <f t="shared" si="14"/>
        <v>-57640.766624958036</v>
      </c>
      <c r="G126">
        <f t="shared" si="15"/>
        <v>4440.3750724814636</v>
      </c>
      <c r="H126">
        <f t="shared" si="16"/>
        <v>6653.1330301828111</v>
      </c>
      <c r="I126">
        <f t="shared" si="17"/>
        <v>21152.345347453236</v>
      </c>
      <c r="J126">
        <f t="shared" si="18"/>
        <v>11266.183050019841</v>
      </c>
      <c r="K126">
        <f t="shared" si="19"/>
        <v>22981.980651264996</v>
      </c>
      <c r="L126" s="42">
        <f t="shared" si="20"/>
        <v>-20291.474640552766</v>
      </c>
    </row>
    <row r="127" spans="2:12">
      <c r="B127" s="42">
        <v>0.11713919492172004</v>
      </c>
      <c r="C127" s="42">
        <v>55921.811578722496</v>
      </c>
      <c r="D127" s="42">
        <v>473.23068941312908</v>
      </c>
      <c r="E127" s="42">
        <v>361.4426099429304</v>
      </c>
      <c r="F127">
        <f t="shared" si="14"/>
        <v>-55921.811578722496</v>
      </c>
      <c r="G127">
        <f t="shared" si="15"/>
        <v>5843.970152897733</v>
      </c>
      <c r="H127">
        <f t="shared" si="16"/>
        <v>8526.8840601825032</v>
      </c>
      <c r="I127">
        <f t="shared" si="17"/>
        <v>23987.026581621751</v>
      </c>
      <c r="J127">
        <f t="shared" si="18"/>
        <v>12942.430494094669</v>
      </c>
      <c r="K127">
        <f t="shared" si="19"/>
        <v>24671.973632007812</v>
      </c>
      <c r="L127" s="42">
        <f t="shared" si="20"/>
        <v>-4163.7461622817009</v>
      </c>
    </row>
    <row r="128" spans="2:12">
      <c r="B128" s="42">
        <v>0.18040406506546222</v>
      </c>
      <c r="C128" s="42">
        <v>59931.485946226385</v>
      </c>
      <c r="D128" s="42">
        <v>519.94537186803791</v>
      </c>
      <c r="E128" s="42">
        <v>368.7365337076937</v>
      </c>
      <c r="F128">
        <f t="shared" si="14"/>
        <v>-59931.485946226385</v>
      </c>
      <c r="G128">
        <f t="shared" si="15"/>
        <v>8577.1987060151969</v>
      </c>
      <c r="H128">
        <f t="shared" si="16"/>
        <v>12206.21082186346</v>
      </c>
      <c r="I128">
        <f t="shared" si="17"/>
        <v>29873.747978148742</v>
      </c>
      <c r="J128">
        <f t="shared" si="18"/>
        <v>16376.379284035766</v>
      </c>
      <c r="K128">
        <f t="shared" si="19"/>
        <v>28316.05456709494</v>
      </c>
      <c r="L128" s="42">
        <f t="shared" si="20"/>
        <v>-4950.1985939837123</v>
      </c>
    </row>
    <row r="129" spans="2:12">
      <c r="B129" s="42">
        <v>0.10329599902340771</v>
      </c>
      <c r="C129" s="42">
        <v>57299.569689016389</v>
      </c>
      <c r="D129" s="42">
        <v>536.77022614215525</v>
      </c>
      <c r="E129" s="42">
        <v>345.38224433118688</v>
      </c>
      <c r="F129">
        <f t="shared" si="14"/>
        <v>-57299.569689016389</v>
      </c>
      <c r="G129">
        <f t="shared" si="15"/>
        <v>11640.10650959807</v>
      </c>
      <c r="H129">
        <f t="shared" si="16"/>
        <v>16233.418073061312</v>
      </c>
      <c r="I129">
        <f t="shared" si="17"/>
        <v>35319.525742362748</v>
      </c>
      <c r="J129">
        <f t="shared" si="18"/>
        <v>19691.6599017304</v>
      </c>
      <c r="K129">
        <f t="shared" si="19"/>
        <v>31291.316263313704</v>
      </c>
      <c r="L129" s="42">
        <f t="shared" si="20"/>
        <v>25316.335897601173</v>
      </c>
    </row>
    <row r="130" spans="2:12">
      <c r="B130" s="42">
        <v>0.11664479506820888</v>
      </c>
      <c r="C130" s="42">
        <v>58758.812219611194</v>
      </c>
      <c r="D130" s="42">
        <v>483.33536790063175</v>
      </c>
      <c r="E130" s="42">
        <v>321.78228095339824</v>
      </c>
      <c r="F130">
        <f t="shared" si="14"/>
        <v>-58758.812219611194</v>
      </c>
      <c r="G130">
        <f t="shared" si="15"/>
        <v>9734.2286446729959</v>
      </c>
      <c r="H130">
        <f t="shared" si="16"/>
        <v>13611.502731406603</v>
      </c>
      <c r="I130">
        <f t="shared" si="17"/>
        <v>30538.831751457259</v>
      </c>
      <c r="J130">
        <f t="shared" si="18"/>
        <v>16984.259163182473</v>
      </c>
      <c r="K130">
        <f t="shared" si="19"/>
        <v>28099.446394238104</v>
      </c>
      <c r="L130" s="42">
        <f t="shared" si="20"/>
        <v>9917.8434878597345</v>
      </c>
    </row>
    <row r="131" spans="2:12">
      <c r="B131" s="42">
        <v>0.12029786065248574</v>
      </c>
      <c r="C131" s="42">
        <v>55723.288674581134</v>
      </c>
      <c r="D131" s="42">
        <v>498.76247444074829</v>
      </c>
      <c r="E131" s="42">
        <v>342.77596362193668</v>
      </c>
      <c r="F131">
        <f t="shared" si="14"/>
        <v>-55723.288674581134</v>
      </c>
      <c r="G131">
        <f t="shared" si="15"/>
        <v>9150.0585955381939</v>
      </c>
      <c r="H131">
        <f t="shared" si="16"/>
        <v>12893.734855189672</v>
      </c>
      <c r="I131">
        <f t="shared" si="17"/>
        <v>30103.997924741358</v>
      </c>
      <c r="J131">
        <f t="shared" si="18"/>
        <v>16631.495712149419</v>
      </c>
      <c r="K131">
        <f t="shared" si="19"/>
        <v>28113.436078981904</v>
      </c>
      <c r="L131" s="42">
        <f t="shared" si="20"/>
        <v>10617.42334015971</v>
      </c>
    </row>
    <row r="132" spans="2:12">
      <c r="B132" s="42">
        <v>0.15885189367351299</v>
      </c>
      <c r="C132" s="42">
        <v>55576.036866359449</v>
      </c>
      <c r="D132" s="42">
        <v>498.37488937040314</v>
      </c>
      <c r="E132" s="42">
        <v>346.56636249885554</v>
      </c>
      <c r="F132">
        <f t="shared" si="14"/>
        <v>-55576.036866359449</v>
      </c>
      <c r="G132">
        <f t="shared" si="15"/>
        <v>8819.3081453901796</v>
      </c>
      <c r="H132">
        <f t="shared" si="16"/>
        <v>12462.71279030732</v>
      </c>
      <c r="I132">
        <f t="shared" si="17"/>
        <v>29562.239448225351</v>
      </c>
      <c r="J132">
        <f t="shared" si="18"/>
        <v>16294.931485946227</v>
      </c>
      <c r="K132">
        <f t="shared" si="19"/>
        <v>27836.743064668721</v>
      </c>
      <c r="L132" s="42">
        <f t="shared" si="20"/>
        <v>2664.6380548149118</v>
      </c>
    </row>
    <row r="133" spans="2:12">
      <c r="B133" s="42">
        <v>0.10281991027558214</v>
      </c>
      <c r="C133" s="42">
        <v>57874.385814996793</v>
      </c>
      <c r="D133" s="42">
        <v>478.02819910275582</v>
      </c>
      <c r="E133" s="42">
        <v>357.80785546433913</v>
      </c>
      <c r="F133">
        <f t="shared" si="14"/>
        <v>-57874.385814996793</v>
      </c>
      <c r="G133">
        <f t="shared" si="15"/>
        <v>6475.3736991485339</v>
      </c>
      <c r="H133">
        <f t="shared" si="16"/>
        <v>9360.6619464705327</v>
      </c>
      <c r="I133">
        <f t="shared" si="17"/>
        <v>25152.711569566942</v>
      </c>
      <c r="J133">
        <f t="shared" si="18"/>
        <v>13645.796685689869</v>
      </c>
      <c r="K133">
        <f t="shared" si="19"/>
        <v>25326.778771324811</v>
      </c>
      <c r="L133" s="42">
        <f t="shared" si="20"/>
        <v>-801.94433712922</v>
      </c>
    </row>
    <row r="134" spans="2:12">
      <c r="B134" s="42">
        <v>0.11758476516006959</v>
      </c>
      <c r="C134" s="42">
        <v>57903.988769188516</v>
      </c>
      <c r="D134" s="42">
        <v>505.10727256080816</v>
      </c>
      <c r="E134" s="42">
        <v>362.47566148869288</v>
      </c>
      <c r="F134">
        <f t="shared" si="14"/>
        <v>-57903.988769188516</v>
      </c>
      <c r="G134">
        <f t="shared" si="15"/>
        <v>8024.5634327219477</v>
      </c>
      <c r="H134">
        <f t="shared" si="16"/>
        <v>11447.722098452716</v>
      </c>
      <c r="I134">
        <f t="shared" si="17"/>
        <v>28508.777123325304</v>
      </c>
      <c r="J134">
        <f t="shared" si="18"/>
        <v>15601.172521134071</v>
      </c>
      <c r="K134">
        <f t="shared" si="19"/>
        <v>27410.997650074773</v>
      </c>
      <c r="L134" s="42">
        <f t="shared" si="20"/>
        <v>4589.0003901923392</v>
      </c>
    </row>
    <row r="135" spans="2:12">
      <c r="B135" s="42">
        <v>0.1066469313638722</v>
      </c>
      <c r="C135" s="42">
        <v>57924.436170537432</v>
      </c>
      <c r="D135" s="42">
        <v>471.19815668202767</v>
      </c>
      <c r="E135" s="42">
        <v>339.6295052949614</v>
      </c>
      <c r="F135">
        <f t="shared" si="14"/>
        <v>-57924.436170537432</v>
      </c>
      <c r="G135">
        <f t="shared" si="15"/>
        <v>7444.7087008270537</v>
      </c>
      <c r="H135">
        <f t="shared" si="16"/>
        <v>10602.356334116645</v>
      </c>
      <c r="I135">
        <f t="shared" si="17"/>
        <v>26482.354197820976</v>
      </c>
      <c r="J135">
        <f t="shared" si="18"/>
        <v>14512.681051057469</v>
      </c>
      <c r="K135">
        <f t="shared" si="19"/>
        <v>25889.149449140903</v>
      </c>
      <c r="L135" s="42">
        <f t="shared" si="20"/>
        <v>2274.8484017574956</v>
      </c>
    </row>
    <row r="136" spans="2:12">
      <c r="B136" s="42">
        <v>0.16921292764061405</v>
      </c>
      <c r="C136" s="42">
        <v>56690.725424970246</v>
      </c>
      <c r="D136" s="42">
        <v>544.55549790948214</v>
      </c>
      <c r="E136" s="42">
        <v>340.72359385967587</v>
      </c>
      <c r="F136">
        <f t="shared" si="14"/>
        <v>-56690.725424970246</v>
      </c>
      <c r="G136">
        <f t="shared" si="15"/>
        <v>12565.552842799159</v>
      </c>
      <c r="H136">
        <f t="shared" si="16"/>
        <v>17457.518539994511</v>
      </c>
      <c r="I136">
        <f t="shared" si="17"/>
        <v>37052.482680745889</v>
      </c>
      <c r="J136">
        <f t="shared" si="18"/>
        <v>20733.885311441391</v>
      </c>
      <c r="K136">
        <f t="shared" si="19"/>
        <v>32274.573809015172</v>
      </c>
      <c r="L136" s="42">
        <f t="shared" si="20"/>
        <v>15872.522510854173</v>
      </c>
    </row>
    <row r="137" spans="2:12">
      <c r="B137" s="42">
        <v>0.15276650288399915</v>
      </c>
      <c r="C137" s="42">
        <v>55038.453321939756</v>
      </c>
      <c r="D137" s="42">
        <v>518.73989074373605</v>
      </c>
      <c r="E137" s="42">
        <v>346.67775505844293</v>
      </c>
      <c r="F137">
        <f t="shared" si="14"/>
        <v>-55038.453321939756</v>
      </c>
      <c r="G137">
        <f t="shared" si="15"/>
        <v>10256.311838129826</v>
      </c>
      <c r="H137">
        <f t="shared" si="16"/>
        <v>14385.803094576862</v>
      </c>
      <c r="I137">
        <f t="shared" si="17"/>
        <v>32521.271401104768</v>
      </c>
      <c r="J137">
        <f t="shared" si="18"/>
        <v>18037.410199285867</v>
      </c>
      <c r="K137">
        <f t="shared" si="19"/>
        <v>29621.734061708426</v>
      </c>
      <c r="L137" s="42">
        <f t="shared" si="20"/>
        <v>10679.611756311744</v>
      </c>
    </row>
    <row r="138" spans="2:12">
      <c r="B138" s="42">
        <v>0.15686819055757317</v>
      </c>
      <c r="C138" s="42">
        <v>55090.029602954193</v>
      </c>
      <c r="D138" s="42">
        <v>536.05304116946934</v>
      </c>
      <c r="E138" s="42">
        <v>355.37553025910216</v>
      </c>
      <c r="F138">
        <f t="shared" si="14"/>
        <v>-55090.029602954193</v>
      </c>
      <c r="G138">
        <f t="shared" si="15"/>
        <v>10789.72350230415</v>
      </c>
      <c r="H138">
        <f t="shared" si="16"/>
        <v>15125.983764152967</v>
      </c>
      <c r="I138">
        <f t="shared" si="17"/>
        <v>33935.676137577444</v>
      </c>
      <c r="J138">
        <f t="shared" si="18"/>
        <v>18830.519119846191</v>
      </c>
      <c r="K138">
        <f t="shared" si="19"/>
        <v>30588.633686330766</v>
      </c>
      <c r="L138" s="42">
        <f t="shared" si="20"/>
        <v>12731.699438186648</v>
      </c>
    </row>
    <row r="139" spans="2:12">
      <c r="B139" s="42">
        <v>0.12475356303598133</v>
      </c>
      <c r="C139" s="42">
        <v>58622.089297158724</v>
      </c>
      <c r="D139" s="42">
        <v>546.68263801995909</v>
      </c>
      <c r="E139" s="42">
        <v>361.78594317453536</v>
      </c>
      <c r="F139">
        <f t="shared" si="14"/>
        <v>-58622.089297158724</v>
      </c>
      <c r="G139">
        <f t="shared" si="15"/>
        <v>11031.59184545427</v>
      </c>
      <c r="H139">
        <f t="shared" si="16"/>
        <v>15469.112521744435</v>
      </c>
      <c r="I139">
        <f t="shared" si="17"/>
        <v>34667.064424573502</v>
      </c>
      <c r="J139">
        <f t="shared" si="18"/>
        <v>19231.831415753655</v>
      </c>
      <c r="K139">
        <f t="shared" si="19"/>
        <v>31113.771782586136</v>
      </c>
      <c r="L139" s="42">
        <f t="shared" si="20"/>
        <v>17079.298684707966</v>
      </c>
    </row>
    <row r="140" spans="2:12">
      <c r="B140" s="42">
        <v>0.19708548234504228</v>
      </c>
      <c r="C140" s="42">
        <v>56936.399426252021</v>
      </c>
      <c r="D140" s="42">
        <v>530.55360576189457</v>
      </c>
      <c r="E140" s="42">
        <v>333.49375896481217</v>
      </c>
      <c r="F140">
        <f t="shared" si="14"/>
        <v>-56936.399426252021</v>
      </c>
      <c r="G140">
        <f t="shared" si="15"/>
        <v>12149.805291909541</v>
      </c>
      <c r="H140">
        <f t="shared" si="16"/>
        <v>16879.241615039522</v>
      </c>
      <c r="I140">
        <f t="shared" si="17"/>
        <v>35933.625293740653</v>
      </c>
      <c r="J140">
        <f t="shared" si="18"/>
        <v>20108.109378337958</v>
      </c>
      <c r="K140">
        <f t="shared" si="19"/>
        <v>31505.116733298746</v>
      </c>
      <c r="L140" s="42">
        <f t="shared" si="20"/>
        <v>8547.1735069431979</v>
      </c>
    </row>
    <row r="141" spans="2:12">
      <c r="B141" s="42">
        <v>0.15245826593829159</v>
      </c>
      <c r="C141" s="42">
        <v>55843.684194463945</v>
      </c>
      <c r="D141" s="42">
        <v>471.25308999908447</v>
      </c>
      <c r="E141" s="42">
        <v>355.19241920224619</v>
      </c>
      <c r="F141">
        <f t="shared" si="14"/>
        <v>-55843.684194463945</v>
      </c>
      <c r="G141">
        <f t="shared" si="15"/>
        <v>6203.575853755302</v>
      </c>
      <c r="H141">
        <f t="shared" si="16"/>
        <v>8989.0319528794207</v>
      </c>
      <c r="I141">
        <f t="shared" si="17"/>
        <v>24498.321481978819</v>
      </c>
      <c r="J141">
        <f t="shared" si="18"/>
        <v>13272.372203741568</v>
      </c>
      <c r="K141">
        <f t="shared" si="19"/>
        <v>24897.957090975677</v>
      </c>
      <c r="L141" s="42">
        <f t="shared" si="20"/>
        <v>-7916.3519717386789</v>
      </c>
    </row>
    <row r="142" spans="2:12">
      <c r="B142" s="42">
        <v>0.11821955015717032</v>
      </c>
      <c r="C142" s="42">
        <v>55697.195348979156</v>
      </c>
      <c r="D142" s="42">
        <v>503.4073915829951</v>
      </c>
      <c r="E142" s="42">
        <v>325.69627979369488</v>
      </c>
      <c r="F142">
        <f t="shared" si="14"/>
        <v>-55697.195348979156</v>
      </c>
      <c r="G142">
        <f t="shared" si="15"/>
        <v>10846.222418897065</v>
      </c>
      <c r="H142">
        <f t="shared" si="16"/>
        <v>15111.289101840266</v>
      </c>
      <c r="I142">
        <f t="shared" si="17"/>
        <v>32968.355357524342</v>
      </c>
      <c r="J142">
        <f t="shared" si="18"/>
        <v>18397.33329264199</v>
      </c>
      <c r="K142">
        <f t="shared" si="19"/>
        <v>29615.288552507096</v>
      </c>
      <c r="L142" s="42">
        <f t="shared" si="20"/>
        <v>18371.062056380491</v>
      </c>
    </row>
    <row r="143" spans="2:12">
      <c r="B143" s="42">
        <v>0.12835474715414899</v>
      </c>
      <c r="C143" s="42">
        <v>58464.613788262584</v>
      </c>
      <c r="D143" s="42">
        <v>500.56001464888453</v>
      </c>
      <c r="E143" s="42">
        <v>344.17981505783257</v>
      </c>
      <c r="F143">
        <f t="shared" si="14"/>
        <v>-58464.613788262584</v>
      </c>
      <c r="G143">
        <f t="shared" si="15"/>
        <v>9165.3758354441979</v>
      </c>
      <c r="H143">
        <f t="shared" si="16"/>
        <v>12918.500625629444</v>
      </c>
      <c r="I143">
        <f t="shared" si="17"/>
        <v>30186.745811334571</v>
      </c>
      <c r="J143">
        <f t="shared" si="18"/>
        <v>16673.776055177466</v>
      </c>
      <c r="K143">
        <f t="shared" si="19"/>
        <v>28181.773125400556</v>
      </c>
      <c r="L143" s="42">
        <f t="shared" si="20"/>
        <v>6511.2393758083454</v>
      </c>
    </row>
    <row r="144" spans="2:12">
      <c r="B144" s="42">
        <v>0.11646473586230049</v>
      </c>
      <c r="C144" s="42">
        <v>57186.956389049956</v>
      </c>
      <c r="D144" s="42">
        <v>509.07773064363539</v>
      </c>
      <c r="E144" s="42">
        <v>363.36832789086583</v>
      </c>
      <c r="F144">
        <f t="shared" si="14"/>
        <v>-57186.956389049956</v>
      </c>
      <c r="G144">
        <f t="shared" si="15"/>
        <v>8235.052644428848</v>
      </c>
      <c r="H144">
        <f t="shared" si="16"/>
        <v>11732.078310495319</v>
      </c>
      <c r="I144">
        <f t="shared" si="17"/>
        <v>28974.20270393994</v>
      </c>
      <c r="J144">
        <f t="shared" si="18"/>
        <v>15871.218604083379</v>
      </c>
      <c r="K144">
        <f t="shared" si="19"/>
        <v>27703.267311624499</v>
      </c>
      <c r="L144" s="42">
        <f t="shared" si="20"/>
        <v>6605.758765110455</v>
      </c>
    </row>
    <row r="145" spans="2:12">
      <c r="B145" s="42">
        <v>0.12428052613910337</v>
      </c>
      <c r="C145" s="42">
        <v>58504.745628223514</v>
      </c>
      <c r="D145" s="42">
        <v>491.17252113406784</v>
      </c>
      <c r="E145" s="42">
        <v>363.02957243568227</v>
      </c>
      <c r="F145">
        <f t="shared" si="14"/>
        <v>-58504.745628223514</v>
      </c>
      <c r="G145">
        <f t="shared" si="15"/>
        <v>6990.8832056642377</v>
      </c>
      <c r="H145">
        <f t="shared" si="16"/>
        <v>10066.313974425488</v>
      </c>
      <c r="I145">
        <f t="shared" si="17"/>
        <v>26403.402813806573</v>
      </c>
      <c r="J145">
        <f t="shared" si="18"/>
        <v>14358.471022675254</v>
      </c>
      <c r="K145">
        <f t="shared" si="19"/>
        <v>26149.289223914304</v>
      </c>
      <c r="L145" s="42">
        <f t="shared" si="20"/>
        <v>-2198.8805833707793</v>
      </c>
    </row>
    <row r="146" spans="2:12">
      <c r="B146" s="42">
        <v>0.15132908108767967</v>
      </c>
      <c r="C146" s="42">
        <v>56820.123905148474</v>
      </c>
      <c r="D146" s="42">
        <v>549.22482985930969</v>
      </c>
      <c r="E146" s="42">
        <v>323.98419141209143</v>
      </c>
      <c r="F146">
        <f t="shared" si="14"/>
        <v>-56820.123905148474</v>
      </c>
      <c r="G146">
        <f t="shared" si="15"/>
        <v>14236.227607043675</v>
      </c>
      <c r="H146">
        <f t="shared" si="16"/>
        <v>19642.002929776914</v>
      </c>
      <c r="I146">
        <f t="shared" si="17"/>
        <v>39876.848658711511</v>
      </c>
      <c r="J146">
        <f t="shared" si="18"/>
        <v>22474.600054933322</v>
      </c>
      <c r="K146">
        <f t="shared" si="19"/>
        <v>33756.796777245399</v>
      </c>
      <c r="L146" s="42">
        <f t="shared" si="20"/>
        <v>25968.935764874928</v>
      </c>
    </row>
    <row r="147" spans="2:12">
      <c r="B147" s="42">
        <v>0.16786706137272256</v>
      </c>
      <c r="C147" s="42">
        <v>59780.419324320203</v>
      </c>
      <c r="D147" s="42">
        <v>530.19348735007782</v>
      </c>
      <c r="E147" s="42">
        <v>341.44993438520464</v>
      </c>
      <c r="F147">
        <f t="shared" si="14"/>
        <v>-59780.419324320203</v>
      </c>
      <c r="G147">
        <f t="shared" si="15"/>
        <v>11487.742851039155</v>
      </c>
      <c r="H147">
        <f t="shared" si="16"/>
        <v>16017.588122196114</v>
      </c>
      <c r="I147">
        <f t="shared" si="17"/>
        <v>34862.657551805169</v>
      </c>
      <c r="J147">
        <f t="shared" si="18"/>
        <v>19440.645161290322</v>
      </c>
      <c r="K147">
        <f t="shared" si="19"/>
        <v>30964.231086153748</v>
      </c>
      <c r="L147" s="42">
        <f t="shared" si="20"/>
        <v>8389.7114796143032</v>
      </c>
    </row>
    <row r="148" spans="2:12">
      <c r="B148" s="42">
        <v>0.12770775475325785</v>
      </c>
      <c r="C148" s="42">
        <v>59688.558610797452</v>
      </c>
      <c r="D148" s="42">
        <v>467.59086886196479</v>
      </c>
      <c r="E148" s="42">
        <v>322.59559923093354</v>
      </c>
      <c r="F148">
        <f t="shared" si="14"/>
        <v>-59688.558610797452</v>
      </c>
      <c r="G148">
        <f t="shared" si="15"/>
        <v>8551.3037507248191</v>
      </c>
      <c r="H148">
        <f t="shared" si="16"/>
        <v>12031.190221869567</v>
      </c>
      <c r="I148">
        <f t="shared" si="17"/>
        <v>28136.030152287371</v>
      </c>
      <c r="J148">
        <f t="shared" si="18"/>
        <v>15565.166783654287</v>
      </c>
      <c r="K148">
        <f t="shared" si="19"/>
        <v>26661.878109073157</v>
      </c>
      <c r="L148" s="42">
        <f t="shared" si="20"/>
        <v>1216.6446248985158</v>
      </c>
    </row>
    <row r="149" spans="2:12">
      <c r="B149" s="42">
        <v>0.16234015930661946</v>
      </c>
      <c r="C149" s="42">
        <v>59839.930417798394</v>
      </c>
      <c r="D149" s="42">
        <v>527.49870296334723</v>
      </c>
      <c r="E149" s="42">
        <v>349.89593188268685</v>
      </c>
      <c r="F149">
        <f t="shared" si="14"/>
        <v>-59839.930417798394</v>
      </c>
      <c r="G149">
        <f t="shared" si="15"/>
        <v>10620.733359782706</v>
      </c>
      <c r="H149">
        <f t="shared" si="16"/>
        <v>14883.199865718561</v>
      </c>
      <c r="I149">
        <f t="shared" si="17"/>
        <v>33388.131351664779</v>
      </c>
      <c r="J149">
        <f t="shared" si="18"/>
        <v>18533.213904232915</v>
      </c>
      <c r="K149">
        <f t="shared" si="19"/>
        <v>30186.546220282595</v>
      </c>
      <c r="L149" s="42">
        <f t="shared" si="20"/>
        <v>5956.6725558480157</v>
      </c>
    </row>
    <row r="150" spans="2:12">
      <c r="B150" s="42">
        <v>0.13838618121890928</v>
      </c>
      <c r="C150" s="42">
        <v>59240.54689168981</v>
      </c>
      <c r="D150" s="42">
        <v>542.35816522721029</v>
      </c>
      <c r="E150" s="42">
        <v>366.69637134922328</v>
      </c>
      <c r="F150">
        <f t="shared" si="14"/>
        <v>-59240.54689168981</v>
      </c>
      <c r="G150">
        <f t="shared" si="15"/>
        <v>10331.720023194066</v>
      </c>
      <c r="H150">
        <f t="shared" si="16"/>
        <v>14547.603076265756</v>
      </c>
      <c r="I150">
        <f t="shared" si="17"/>
        <v>33407.156590472128</v>
      </c>
      <c r="J150">
        <f t="shared" si="18"/>
        <v>18467.092501602219</v>
      </c>
      <c r="K150">
        <f t="shared" si="19"/>
        <v>30418.950773644217</v>
      </c>
      <c r="L150" s="42">
        <f t="shared" si="20"/>
        <v>10612.881952695087</v>
      </c>
    </row>
    <row r="151" spans="2:12">
      <c r="B151" s="42">
        <v>0.15319986571855831</v>
      </c>
      <c r="C151" s="42">
        <v>59332.40760521256</v>
      </c>
      <c r="D151" s="42">
        <v>531.38370921964167</v>
      </c>
      <c r="E151" s="42">
        <v>362.45277260658588</v>
      </c>
      <c r="F151">
        <f t="shared" si="14"/>
        <v>-59332.40760521256</v>
      </c>
      <c r="G151">
        <f t="shared" si="15"/>
        <v>9892.0215460676882</v>
      </c>
      <c r="H151">
        <f t="shared" si="16"/>
        <v>13946.364024781029</v>
      </c>
      <c r="I151">
        <f t="shared" si="17"/>
        <v>32348.066652424692</v>
      </c>
      <c r="J151">
        <f t="shared" si="18"/>
        <v>17862.777184362312</v>
      </c>
      <c r="K151">
        <f t="shared" si="19"/>
        <v>29724.788964506974</v>
      </c>
      <c r="L151" s="42">
        <f t="shared" si="20"/>
        <v>5500.1022106562341</v>
      </c>
    </row>
    <row r="152" spans="2:12">
      <c r="B152" s="42">
        <v>0.1816125980407117</v>
      </c>
      <c r="C152" s="42">
        <v>57845.393230994596</v>
      </c>
      <c r="D152" s="42">
        <v>461.51463362529375</v>
      </c>
      <c r="E152" s="42">
        <v>334.9372844630268</v>
      </c>
      <c r="F152">
        <f t="shared" si="14"/>
        <v>-57845.393230994596</v>
      </c>
      <c r="G152">
        <f t="shared" si="15"/>
        <v>7132.5562303537135</v>
      </c>
      <c r="H152">
        <f t="shared" si="16"/>
        <v>10170.412610248122</v>
      </c>
      <c r="I152">
        <f t="shared" si="17"/>
        <v>25669.164098025456</v>
      </c>
      <c r="J152">
        <f t="shared" si="18"/>
        <v>14055.275734733121</v>
      </c>
      <c r="K152">
        <f t="shared" si="19"/>
        <v>25337.301553392135</v>
      </c>
      <c r="L152" s="42">
        <f t="shared" si="20"/>
        <v>-10755.764986492892</v>
      </c>
    </row>
    <row r="153" spans="2:12">
      <c r="B153" s="42">
        <v>0.12269356364635152</v>
      </c>
      <c r="C153" s="42">
        <v>58338.724936674094</v>
      </c>
      <c r="D153" s="42">
        <v>535.48844874416329</v>
      </c>
      <c r="E153" s="42">
        <v>368.57020783104952</v>
      </c>
      <c r="F153">
        <f t="shared" si="14"/>
        <v>-58338.724936674094</v>
      </c>
      <c r="G153">
        <f t="shared" si="15"/>
        <v>9694.0632343516318</v>
      </c>
      <c r="H153">
        <f t="shared" si="16"/>
        <v>13700.101016266366</v>
      </c>
      <c r="I153">
        <f t="shared" si="17"/>
        <v>32164.326914273501</v>
      </c>
      <c r="J153">
        <f t="shared" si="18"/>
        <v>17726.389965514085</v>
      </c>
      <c r="K153">
        <f t="shared" si="19"/>
        <v>29694.490188299198</v>
      </c>
      <c r="L153" s="42">
        <f t="shared" si="20"/>
        <v>11700.772824354242</v>
      </c>
    </row>
    <row r="154" spans="2:12">
      <c r="B154" s="42">
        <v>0.13586230048524431</v>
      </c>
      <c r="C154" s="42">
        <v>55024.719992675557</v>
      </c>
      <c r="D154" s="42">
        <v>502.43385113071076</v>
      </c>
      <c r="E154" s="42">
        <v>348.36695455793938</v>
      </c>
      <c r="F154">
        <f t="shared" si="14"/>
        <v>-55024.719992675557</v>
      </c>
      <c r="G154">
        <f t="shared" si="15"/>
        <v>8963.4470656453141</v>
      </c>
      <c r="H154">
        <f t="shared" si="16"/>
        <v>12661.052583391829</v>
      </c>
      <c r="I154">
        <f t="shared" si="17"/>
        <v>29924.372081667527</v>
      </c>
      <c r="J154">
        <f t="shared" si="18"/>
        <v>16499.954832605978</v>
      </c>
      <c r="K154">
        <f t="shared" si="19"/>
        <v>28078.693807794425</v>
      </c>
      <c r="L154" s="42">
        <f t="shared" si="20"/>
        <v>7862.7868613260835</v>
      </c>
    </row>
    <row r="155" spans="2:12">
      <c r="B155" s="42">
        <v>0.19096652119510485</v>
      </c>
      <c r="C155" s="42">
        <v>56696.523941770683</v>
      </c>
      <c r="D155" s="42">
        <v>539.04995880001218</v>
      </c>
      <c r="E155" s="42">
        <v>340.00640888698996</v>
      </c>
      <c r="F155">
        <f t="shared" si="14"/>
        <v>-56696.523941770683</v>
      </c>
      <c r="G155">
        <f t="shared" si="15"/>
        <v>12232.034363841673</v>
      </c>
      <c r="H155">
        <f t="shared" si="16"/>
        <v>17009.079561754199</v>
      </c>
      <c r="I155">
        <f t="shared" si="17"/>
        <v>36340.473647267063</v>
      </c>
      <c r="J155">
        <f t="shared" si="18"/>
        <v>20317.783745841854</v>
      </c>
      <c r="K155">
        <f t="shared" si="19"/>
        <v>31835.986205633715</v>
      </c>
      <c r="L155" s="42">
        <f t="shared" si="20"/>
        <v>10464.230945547763</v>
      </c>
    </row>
    <row r="156" spans="2:12">
      <c r="B156" s="42">
        <v>0.18025147251808224</v>
      </c>
      <c r="C156" s="42">
        <v>56629.688406018249</v>
      </c>
      <c r="D156" s="42">
        <v>454.68153935361795</v>
      </c>
      <c r="E156" s="42">
        <v>327.63267921994691</v>
      </c>
      <c r="F156">
        <f t="shared" si="14"/>
        <v>-56629.688406018249</v>
      </c>
      <c r="G156">
        <f t="shared" si="15"/>
        <v>7231.7749565111226</v>
      </c>
      <c r="H156">
        <f t="shared" si="16"/>
        <v>10280.947599719224</v>
      </c>
      <c r="I156">
        <f t="shared" si="17"/>
        <v>25606.521805475018</v>
      </c>
      <c r="J156">
        <f t="shared" si="18"/>
        <v>14051.99804681539</v>
      </c>
      <c r="K156">
        <f t="shared" si="19"/>
        <v>25203.48399304178</v>
      </c>
      <c r="L156" s="42">
        <f t="shared" si="20"/>
        <v>-9300.3081972501641</v>
      </c>
    </row>
    <row r="157" spans="2:12">
      <c r="B157" s="42">
        <v>0.18334299752800073</v>
      </c>
      <c r="C157" s="42">
        <v>57851.954710531936</v>
      </c>
      <c r="D157" s="42">
        <v>467.82891323587756</v>
      </c>
      <c r="E157" s="42">
        <v>335.19821771904662</v>
      </c>
      <c r="F157">
        <f t="shared" si="14"/>
        <v>-57851.954710531936</v>
      </c>
      <c r="G157">
        <f t="shared" si="15"/>
        <v>7559.9954222235783</v>
      </c>
      <c r="H157">
        <f t="shared" si="16"/>
        <v>10743.132114627519</v>
      </c>
      <c r="I157">
        <f t="shared" si="17"/>
        <v>26557.649464400158</v>
      </c>
      <c r="J157">
        <f t="shared" si="18"/>
        <v>14577.429120761741</v>
      </c>
      <c r="K157">
        <f t="shared" si="19"/>
        <v>25876.258430738242</v>
      </c>
      <c r="L157" s="42">
        <f t="shared" si="20"/>
        <v>-9177.9038132119949</v>
      </c>
    </row>
    <row r="158" spans="2:12">
      <c r="B158" s="42">
        <v>0.10708639790032655</v>
      </c>
      <c r="C158" s="42">
        <v>55747.245704519788</v>
      </c>
      <c r="D158" s="42">
        <v>488.822595904416</v>
      </c>
      <c r="E158" s="42">
        <v>351.92236091189307</v>
      </c>
      <c r="F158">
        <f t="shared" si="14"/>
        <v>-55747.245704519788</v>
      </c>
      <c r="G158">
        <f t="shared" si="15"/>
        <v>7712.6154362620919</v>
      </c>
      <c r="H158">
        <f t="shared" si="16"/>
        <v>10998.221076082646</v>
      </c>
      <c r="I158">
        <f t="shared" si="17"/>
        <v>27482.036805322423</v>
      </c>
      <c r="J158">
        <f t="shared" si="18"/>
        <v>15044.954374828332</v>
      </c>
      <c r="K158">
        <f t="shared" si="19"/>
        <v>26653.357341227449</v>
      </c>
      <c r="L158" s="42">
        <f t="shared" si="20"/>
        <v>6488.5206894652001</v>
      </c>
    </row>
    <row r="159" spans="2:12">
      <c r="B159" s="42">
        <v>0.14925077059236427</v>
      </c>
      <c r="C159" s="42">
        <v>58265.785699026463</v>
      </c>
      <c r="D159" s="42">
        <v>472.80953398236028</v>
      </c>
      <c r="E159" s="42">
        <v>356.22852259895626</v>
      </c>
      <c r="F159">
        <f t="shared" si="14"/>
        <v>-58265.785699026463</v>
      </c>
      <c r="G159">
        <f t="shared" si="15"/>
        <v>6231.1951048310812</v>
      </c>
      <c r="H159">
        <f t="shared" si="16"/>
        <v>9029.139378032778</v>
      </c>
      <c r="I159">
        <f t="shared" si="17"/>
        <v>24592.941068758199</v>
      </c>
      <c r="J159">
        <f t="shared" si="18"/>
        <v>13323.338114566486</v>
      </c>
      <c r="K159">
        <f t="shared" si="19"/>
        <v>24968.613544114502</v>
      </c>
      <c r="L159" s="42">
        <f t="shared" si="20"/>
        <v>-9713.8101953339828</v>
      </c>
    </row>
    <row r="160" spans="2:12">
      <c r="B160" s="42">
        <v>0.19521164586321604</v>
      </c>
      <c r="C160" s="42">
        <v>58616.901150547805</v>
      </c>
      <c r="D160" s="42">
        <v>545.12924588763087</v>
      </c>
      <c r="E160" s="42">
        <v>336.69209875789664</v>
      </c>
      <c r="F160">
        <f t="shared" si="14"/>
        <v>-58616.901150547805</v>
      </c>
      <c r="G160">
        <f t="shared" si="15"/>
        <v>12928.808557390061</v>
      </c>
      <c r="H160">
        <f t="shared" si="16"/>
        <v>17931.300088503682</v>
      </c>
      <c r="I160">
        <f t="shared" si="17"/>
        <v>37652.281258583338</v>
      </c>
      <c r="J160">
        <f t="shared" si="18"/>
        <v>21105.747245704526</v>
      </c>
      <c r="K160">
        <f t="shared" si="19"/>
        <v>32583.079317606134</v>
      </c>
      <c r="L160" s="42">
        <f t="shared" si="20"/>
        <v>10506.207669799609</v>
      </c>
    </row>
    <row r="161" spans="2:12">
      <c r="B161" s="42">
        <v>0.15203711050752283</v>
      </c>
      <c r="C161" s="42">
        <v>56909.237952818381</v>
      </c>
      <c r="D161" s="42">
        <v>509.76439710684531</v>
      </c>
      <c r="E161" s="42">
        <v>369.72075563829463</v>
      </c>
      <c r="F161">
        <f t="shared" si="14"/>
        <v>-56909.237952818381</v>
      </c>
      <c r="G161">
        <f t="shared" si="15"/>
        <v>7775.611743522446</v>
      </c>
      <c r="H161">
        <f t="shared" si="16"/>
        <v>11136.65913876766</v>
      </c>
      <c r="I161">
        <f t="shared" si="17"/>
        <v>28261.345255897704</v>
      </c>
      <c r="J161">
        <f t="shared" si="18"/>
        <v>15422.077700125124</v>
      </c>
      <c r="K161">
        <f t="shared" si="19"/>
        <v>27357.138584551532</v>
      </c>
      <c r="L161" s="42">
        <f t="shared" si="20"/>
        <v>-1047.816748846446</v>
      </c>
    </row>
    <row r="162" spans="2:12">
      <c r="B162" s="42">
        <v>0.11125827814569537</v>
      </c>
      <c r="C162" s="42">
        <v>56337.16849269082</v>
      </c>
      <c r="D162" s="42">
        <v>457.75780510879849</v>
      </c>
      <c r="E162" s="42">
        <v>358.68678853724782</v>
      </c>
      <c r="F162">
        <f t="shared" si="14"/>
        <v>-56337.16849269082</v>
      </c>
      <c r="G162">
        <f t="shared" si="15"/>
        <v>4965.8610797448673</v>
      </c>
      <c r="H162">
        <f t="shared" si="16"/>
        <v>7343.5654774620853</v>
      </c>
      <c r="I162">
        <f t="shared" si="17"/>
        <v>22080.730613116859</v>
      </c>
      <c r="J162">
        <f t="shared" si="18"/>
        <v>11832.228156376845</v>
      </c>
      <c r="K162">
        <f t="shared" si="19"/>
        <v>23486.732383190407</v>
      </c>
      <c r="L162" s="42">
        <f t="shared" si="20"/>
        <v>-8212.8015069285157</v>
      </c>
    </row>
    <row r="163" spans="2:12">
      <c r="B163" s="42">
        <v>0.15302285836359752</v>
      </c>
      <c r="C163" s="42">
        <v>56878.719443342387</v>
      </c>
      <c r="D163" s="42">
        <v>478.05566576128422</v>
      </c>
      <c r="E163" s="42">
        <v>368.7273781548509</v>
      </c>
      <c r="F163">
        <f t="shared" si="14"/>
        <v>-56878.719443342387</v>
      </c>
      <c r="G163">
        <f t="shared" si="15"/>
        <v>5603.7620166631068</v>
      </c>
      <c r="H163">
        <f t="shared" si="16"/>
        <v>8227.6409192175088</v>
      </c>
      <c r="I163">
        <f t="shared" si="17"/>
        <v>23759.022797326583</v>
      </c>
      <c r="J163">
        <f t="shared" si="18"/>
        <v>12774.597003082368</v>
      </c>
      <c r="K163">
        <f t="shared" si="19"/>
        <v>24630.346385082554</v>
      </c>
      <c r="L163" s="42">
        <f t="shared" si="20"/>
        <v>-11016.9815627065</v>
      </c>
    </row>
    <row r="164" spans="2:12">
      <c r="B164" s="42">
        <v>0.19381694998016297</v>
      </c>
      <c r="C164" s="42">
        <v>55645.466475417343</v>
      </c>
      <c r="D164" s="42">
        <v>504.36262092959379</v>
      </c>
      <c r="E164" s="42">
        <v>359.52299569689018</v>
      </c>
      <c r="F164">
        <f t="shared" si="14"/>
        <v>-55645.466475417343</v>
      </c>
      <c r="G164">
        <f t="shared" si="15"/>
        <v>8207.9064302499428</v>
      </c>
      <c r="H164">
        <f t="shared" si="16"/>
        <v>11684.057435834831</v>
      </c>
      <c r="I164">
        <f t="shared" si="17"/>
        <v>28777.999206518751</v>
      </c>
      <c r="J164">
        <f t="shared" si="18"/>
        <v>15773.345744193852</v>
      </c>
      <c r="K164">
        <f t="shared" si="19"/>
        <v>27534.438917203282</v>
      </c>
      <c r="L164" s="42">
        <f t="shared" si="20"/>
        <v>-4537.3123364186249</v>
      </c>
    </row>
    <row r="165" spans="2:12">
      <c r="B165" s="42">
        <v>0.15009613330484939</v>
      </c>
      <c r="C165" s="42">
        <v>58659.932248908961</v>
      </c>
      <c r="D165" s="42">
        <v>473.77391888180182</v>
      </c>
      <c r="E165" s="42">
        <v>344.17981505783257</v>
      </c>
      <c r="F165">
        <f t="shared" si="14"/>
        <v>-58659.932248908961</v>
      </c>
      <c r="G165">
        <f t="shared" si="15"/>
        <v>7263.5630359813249</v>
      </c>
      <c r="H165">
        <f t="shared" si="16"/>
        <v>10373.821527756587</v>
      </c>
      <c r="I165">
        <f t="shared" si="17"/>
        <v>26275.975829340496</v>
      </c>
      <c r="J165">
        <f t="shared" si="18"/>
        <v>14370.171819208352</v>
      </c>
      <c r="K165">
        <f t="shared" si="19"/>
        <v>25824.596697897276</v>
      </c>
      <c r="L165" s="42">
        <f t="shared" si="20"/>
        <v>-6181.5124561617758</v>
      </c>
    </row>
    <row r="166" spans="2:12">
      <c r="B166" s="42">
        <v>0.16456495864741966</v>
      </c>
      <c r="C166" s="42">
        <v>59551.072725608079</v>
      </c>
      <c r="D166" s="42">
        <v>540.79866939298688</v>
      </c>
      <c r="E166" s="42">
        <v>334.67177343058563</v>
      </c>
      <c r="F166">
        <f t="shared" si="14"/>
        <v>-59551.072725608079</v>
      </c>
      <c r="G166">
        <f t="shared" si="15"/>
        <v>12782.963652455219</v>
      </c>
      <c r="H166">
        <f t="shared" si="16"/>
        <v>17730.009155552845</v>
      </c>
      <c r="I166">
        <f t="shared" si="17"/>
        <v>37278.618732261122</v>
      </c>
      <c r="J166">
        <f t="shared" si="18"/>
        <v>20894.943693350018</v>
      </c>
      <c r="K166">
        <f t="shared" si="19"/>
        <v>32331.289407025368</v>
      </c>
      <c r="L166" s="42">
        <f t="shared" si="20"/>
        <v>14556.006953543891</v>
      </c>
    </row>
    <row r="167" spans="2:12">
      <c r="B167" s="42">
        <v>0.16335337382122259</v>
      </c>
      <c r="C167" s="42">
        <v>57074.190496536146</v>
      </c>
      <c r="D167" s="42">
        <v>503.14493240150153</v>
      </c>
      <c r="E167" s="42">
        <v>357.9985961485641</v>
      </c>
      <c r="F167">
        <f t="shared" si="14"/>
        <v>-57074.190496536146</v>
      </c>
      <c r="G167">
        <f t="shared" si="15"/>
        <v>8243.4025086214824</v>
      </c>
      <c r="H167">
        <f t="shared" si="16"/>
        <v>11726.914578691982</v>
      </c>
      <c r="I167">
        <f t="shared" si="17"/>
        <v>28795.339823603019</v>
      </c>
      <c r="J167">
        <f t="shared" si="18"/>
        <v>15790.576494644005</v>
      </c>
      <c r="K167">
        <f t="shared" si="19"/>
        <v>27524.84389782403</v>
      </c>
      <c r="L167" s="42">
        <f t="shared" si="20"/>
        <v>-1496.5470274093859</v>
      </c>
    </row>
    <row r="168" spans="2:12">
      <c r="B168" s="42">
        <v>0.11399578844569232</v>
      </c>
      <c r="C168" s="42">
        <v>56102.481154820402</v>
      </c>
      <c r="D168" s="42">
        <v>508.22931608020264</v>
      </c>
      <c r="E168" s="42">
        <v>344.01348918118839</v>
      </c>
      <c r="F168">
        <f t="shared" si="14"/>
        <v>-56102.481154820402</v>
      </c>
      <c r="G168">
        <f t="shared" si="15"/>
        <v>9723.2023071993153</v>
      </c>
      <c r="H168">
        <f t="shared" si="16"/>
        <v>13664.382152775659</v>
      </c>
      <c r="I168">
        <f t="shared" si="17"/>
        <v>31327.753532517469</v>
      </c>
      <c r="J168">
        <f t="shared" si="18"/>
        <v>17346.642048402355</v>
      </c>
      <c r="K168">
        <f t="shared" si="19"/>
        <v>28867.316507461772</v>
      </c>
      <c r="L168" s="42">
        <f t="shared" si="20"/>
        <v>14387.62390421927</v>
      </c>
    </row>
    <row r="169" spans="2:12">
      <c r="B169" s="42">
        <v>0.15029450361644339</v>
      </c>
      <c r="C169" s="42">
        <v>56438.947721793265</v>
      </c>
      <c r="D169" s="42">
        <v>519.46928312021237</v>
      </c>
      <c r="E169" s="42">
        <v>321.77770317697684</v>
      </c>
      <c r="F169">
        <f t="shared" si="14"/>
        <v>-56438.947721793265</v>
      </c>
      <c r="G169">
        <f t="shared" si="15"/>
        <v>12300.102847376929</v>
      </c>
      <c r="H169">
        <f t="shared" si="16"/>
        <v>17044.700766014586</v>
      </c>
      <c r="I169">
        <f t="shared" si="17"/>
        <v>35814.969328897969</v>
      </c>
      <c r="J169">
        <f t="shared" si="18"/>
        <v>20092.142094180115</v>
      </c>
      <c r="K169">
        <f t="shared" si="19"/>
        <v>31279.52391125217</v>
      </c>
      <c r="L169" s="42">
        <f t="shared" si="20"/>
        <v>17674.081905966414</v>
      </c>
    </row>
    <row r="170" spans="2:12">
      <c r="B170" s="42">
        <v>0.13895687734611042</v>
      </c>
      <c r="C170" s="42">
        <v>56071.352275154881</v>
      </c>
      <c r="D170" s="42">
        <v>547.64091921750537</v>
      </c>
      <c r="E170" s="42">
        <v>344.70320749534591</v>
      </c>
      <c r="F170">
        <f t="shared" si="14"/>
        <v>-56071.352275154881</v>
      </c>
      <c r="G170">
        <f t="shared" si="15"/>
        <v>12466.24866481521</v>
      </c>
      <c r="H170">
        <f t="shared" si="16"/>
        <v>17336.753746147038</v>
      </c>
      <c r="I170">
        <f t="shared" si="17"/>
        <v>36993.563646351511</v>
      </c>
      <c r="J170">
        <f t="shared" si="18"/>
        <v>20680.862453077792</v>
      </c>
      <c r="K170">
        <f t="shared" si="19"/>
        <v>32291.395611438333</v>
      </c>
      <c r="L170" s="42">
        <f t="shared" si="20"/>
        <v>22414.484524558728</v>
      </c>
    </row>
    <row r="171" spans="2:12">
      <c r="B171" s="42">
        <v>0.14353465376751001</v>
      </c>
      <c r="C171" s="42">
        <v>55969.725638599812</v>
      </c>
      <c r="D171" s="42">
        <v>503.3951841792047</v>
      </c>
      <c r="E171" s="42">
        <v>341.32786034730066</v>
      </c>
      <c r="F171">
        <f t="shared" si="14"/>
        <v>-55969.725638599812</v>
      </c>
      <c r="G171">
        <f t="shared" si="15"/>
        <v>9594.8292489394844</v>
      </c>
      <c r="H171">
        <f t="shared" si="16"/>
        <v>13484.445020905176</v>
      </c>
      <c r="I171">
        <f t="shared" si="17"/>
        <v>30965.730765709402</v>
      </c>
      <c r="J171">
        <f t="shared" si="18"/>
        <v>17145.757011627553</v>
      </c>
      <c r="K171">
        <f t="shared" si="19"/>
        <v>28613.793145542772</v>
      </c>
      <c r="L171" s="42">
        <f t="shared" si="20"/>
        <v>8099.9207798014177</v>
      </c>
    </row>
    <row r="172" spans="2:12">
      <c r="B172" s="42">
        <v>0.1784203619495224</v>
      </c>
      <c r="C172" s="42">
        <v>57833.79619739372</v>
      </c>
      <c r="D172" s="42">
        <v>487.52861110263376</v>
      </c>
      <c r="E172" s="42">
        <v>328.08130130924405</v>
      </c>
      <c r="F172">
        <f t="shared" si="14"/>
        <v>-57833.79619739372</v>
      </c>
      <c r="G172">
        <f t="shared" si="15"/>
        <v>9528.0272835474716</v>
      </c>
      <c r="H172">
        <f t="shared" si="16"/>
        <v>13354.762718588827</v>
      </c>
      <c r="I172">
        <f t="shared" si="17"/>
        <v>30344.77065340129</v>
      </c>
      <c r="J172">
        <f t="shared" si="18"/>
        <v>16840.956450086978</v>
      </c>
      <c r="K172">
        <f t="shared" si="19"/>
        <v>28065.314493240148</v>
      </c>
      <c r="L172" s="42">
        <f t="shared" si="20"/>
        <v>-505.22814022276543</v>
      </c>
    </row>
    <row r="173" spans="2:12">
      <c r="B173" s="42">
        <v>0.19700613422040469</v>
      </c>
      <c r="C173" s="42">
        <v>59959.715567491687</v>
      </c>
      <c r="D173" s="42">
        <v>514.28113650929288</v>
      </c>
      <c r="E173" s="42">
        <v>344.44685201574754</v>
      </c>
      <c r="F173">
        <f t="shared" si="14"/>
        <v>-59959.715567491687</v>
      </c>
      <c r="G173">
        <f t="shared" si="15"/>
        <v>10118.212530899991</v>
      </c>
      <c r="H173">
        <f t="shared" si="16"/>
        <v>14194.235358745078</v>
      </c>
      <c r="I173">
        <f t="shared" si="17"/>
        <v>32155.848872341077</v>
      </c>
      <c r="J173">
        <f t="shared" si="18"/>
        <v>17832.429578539384</v>
      </c>
      <c r="K173">
        <f t="shared" si="19"/>
        <v>29372.14148380993</v>
      </c>
      <c r="L173" s="42">
        <f t="shared" si="20"/>
        <v>-2213.1530924377385</v>
      </c>
    </row>
    <row r="174" spans="2:12">
      <c r="B174" s="42">
        <v>0.1142643513290811</v>
      </c>
      <c r="C174" s="42">
        <v>55228.736228522597</v>
      </c>
      <c r="D174" s="42">
        <v>546.5300454725791</v>
      </c>
      <c r="E174" s="42">
        <v>320.91250343333229</v>
      </c>
      <c r="F174">
        <f t="shared" si="14"/>
        <v>-55228.736228522597</v>
      </c>
      <c r="G174">
        <f t="shared" si="15"/>
        <v>14290.632953886534</v>
      </c>
      <c r="H174">
        <f t="shared" si="16"/>
        <v>19705.453962828455</v>
      </c>
      <c r="I174">
        <f t="shared" si="17"/>
        <v>39876.586199530022</v>
      </c>
      <c r="J174">
        <f t="shared" si="18"/>
        <v>22488.583635975221</v>
      </c>
      <c r="K174">
        <f t="shared" si="19"/>
        <v>33716.2437818537</v>
      </c>
      <c r="L174" s="42">
        <f t="shared" si="20"/>
        <v>36509.021251204125</v>
      </c>
    </row>
    <row r="175" spans="2:12">
      <c r="B175" s="42">
        <v>0.16525772881252482</v>
      </c>
      <c r="C175" s="42">
        <v>59765.160069582198</v>
      </c>
      <c r="D175" s="42">
        <v>512.4164555803095</v>
      </c>
      <c r="E175" s="42">
        <v>323.49894711142309</v>
      </c>
      <c r="F175">
        <f t="shared" si="14"/>
        <v>-59765.160069582198</v>
      </c>
      <c r="G175">
        <f t="shared" si="15"/>
        <v>11661.652577288129</v>
      </c>
      <c r="H175">
        <f t="shared" si="16"/>
        <v>16195.672780541401</v>
      </c>
      <c r="I175">
        <f t="shared" si="17"/>
        <v>34564.937284463034</v>
      </c>
      <c r="J175">
        <f t="shared" si="18"/>
        <v>19347.89941099277</v>
      </c>
      <c r="K175">
        <f t="shared" si="19"/>
        <v>30548.715475936158</v>
      </c>
      <c r="L175" s="42">
        <f t="shared" si="20"/>
        <v>8729.7464060380789</v>
      </c>
    </row>
    <row r="176" spans="2:12">
      <c r="B176" s="42">
        <v>0.18847621082186347</v>
      </c>
      <c r="C176" s="42">
        <v>56678.670613727227</v>
      </c>
      <c r="D176" s="42">
        <v>476.43513290810876</v>
      </c>
      <c r="E176" s="42">
        <v>368.78841517380289</v>
      </c>
      <c r="F176">
        <f t="shared" si="14"/>
        <v>-56678.670613727227</v>
      </c>
      <c r="G176">
        <f t="shared" si="15"/>
        <v>5483.8212225714924</v>
      </c>
      <c r="H176">
        <f t="shared" si="16"/>
        <v>8067.3424481948286</v>
      </c>
      <c r="I176">
        <f t="shared" si="17"/>
        <v>23514.612262337108</v>
      </c>
      <c r="J176">
        <f t="shared" si="18"/>
        <v>12630.348216193122</v>
      </c>
      <c r="K176">
        <f t="shared" si="19"/>
        <v>24483.833124790188</v>
      </c>
      <c r="L176" s="42">
        <f t="shared" si="20"/>
        <v>-15688.733189334047</v>
      </c>
    </row>
    <row r="177" spans="2:12">
      <c r="B177" s="42">
        <v>0.18666341135898923</v>
      </c>
      <c r="C177" s="42">
        <v>57128.818628498186</v>
      </c>
      <c r="D177" s="42">
        <v>500.63631092257452</v>
      </c>
      <c r="E177" s="42">
        <v>351.78044984282968</v>
      </c>
      <c r="F177">
        <f t="shared" si="14"/>
        <v>-57128.818628498186</v>
      </c>
      <c r="G177">
        <f t="shared" si="15"/>
        <v>8562.7420880764184</v>
      </c>
      <c r="H177">
        <f t="shared" si="16"/>
        <v>12135.282753990294</v>
      </c>
      <c r="I177">
        <f t="shared" si="17"/>
        <v>29225.003814813681</v>
      </c>
      <c r="J177">
        <f t="shared" si="18"/>
        <v>16072.286751915037</v>
      </c>
      <c r="K177">
        <f t="shared" si="19"/>
        <v>27702.046571245461</v>
      </c>
      <c r="L177" s="42">
        <f t="shared" si="20"/>
        <v>-3928.0414992432688</v>
      </c>
    </row>
    <row r="178" spans="2:12">
      <c r="B178" s="42">
        <v>0.14925992614520708</v>
      </c>
      <c r="C178" s="42">
        <v>56348.918118839079</v>
      </c>
      <c r="D178" s="42">
        <v>525.28611102633749</v>
      </c>
      <c r="E178" s="42">
        <v>337.22769859920044</v>
      </c>
      <c r="F178">
        <f t="shared" si="14"/>
        <v>-56348.918118839079</v>
      </c>
      <c r="G178">
        <f t="shared" si="15"/>
        <v>11477.097994933923</v>
      </c>
      <c r="H178">
        <f t="shared" si="16"/>
        <v>15990.499893185221</v>
      </c>
      <c r="I178">
        <f t="shared" si="17"/>
        <v>34686.626789147616</v>
      </c>
      <c r="J178">
        <f t="shared" si="18"/>
        <v>19356.389660328987</v>
      </c>
      <c r="K178">
        <f t="shared" si="19"/>
        <v>30802.605059968872</v>
      </c>
      <c r="L178" s="42">
        <f t="shared" si="20"/>
        <v>15054.719236834349</v>
      </c>
    </row>
    <row r="179" spans="2:12">
      <c r="B179" s="42">
        <v>0.15792413098544267</v>
      </c>
      <c r="C179" s="42">
        <v>55872.066408276623</v>
      </c>
      <c r="D179" s="42">
        <v>471.46366771446884</v>
      </c>
      <c r="E179" s="42">
        <v>329.64079714346752</v>
      </c>
      <c r="F179">
        <f t="shared" si="14"/>
        <v>-55872.066408276623</v>
      </c>
      <c r="G179">
        <f t="shared" si="15"/>
        <v>8262.6566362498852</v>
      </c>
      <c r="H179">
        <f t="shared" si="16"/>
        <v>11666.405529953918</v>
      </c>
      <c r="I179">
        <f t="shared" si="17"/>
        <v>27799.673451948605</v>
      </c>
      <c r="J179">
        <f t="shared" si="18"/>
        <v>15334.611651966918</v>
      </c>
      <c r="K179">
        <f t="shared" si="19"/>
        <v>26551.791741691333</v>
      </c>
      <c r="L179" s="42">
        <f t="shared" si="20"/>
        <v>-843.68698691555437</v>
      </c>
    </row>
    <row r="180" spans="2:12">
      <c r="B180" s="42">
        <v>0.18882106997894224</v>
      </c>
      <c r="C180" s="42">
        <v>55630.664998321481</v>
      </c>
      <c r="D180" s="42">
        <v>486.95791497543257</v>
      </c>
      <c r="E180" s="42">
        <v>325.04776146732996</v>
      </c>
      <c r="F180">
        <f t="shared" si="14"/>
        <v>-55630.664998321481</v>
      </c>
      <c r="G180">
        <f t="shared" si="15"/>
        <v>9730.1910458693164</v>
      </c>
      <c r="H180">
        <f t="shared" si="16"/>
        <v>13616.034730063777</v>
      </c>
      <c r="I180">
        <f t="shared" si="17"/>
        <v>30649.742118594921</v>
      </c>
      <c r="J180">
        <f t="shared" si="18"/>
        <v>17034.559770500804</v>
      </c>
      <c r="K180">
        <f t="shared" si="19"/>
        <v>28209.239783928948</v>
      </c>
      <c r="L180" s="42">
        <f t="shared" si="20"/>
        <v>838.66735189171231</v>
      </c>
    </row>
    <row r="181" spans="2:12">
      <c r="B181" s="42">
        <v>0.13674733726004823</v>
      </c>
      <c r="C181" s="42">
        <v>56488.540299691762</v>
      </c>
      <c r="D181" s="42">
        <v>485.15732291634879</v>
      </c>
      <c r="E181" s="42">
        <v>339.11374248481707</v>
      </c>
      <c r="F181">
        <f t="shared" si="14"/>
        <v>-56488.540299691762</v>
      </c>
      <c r="G181">
        <f t="shared" si="15"/>
        <v>8477.0705282753988</v>
      </c>
      <c r="H181">
        <f t="shared" si="16"/>
        <v>11982.116458632161</v>
      </c>
      <c r="I181">
        <f t="shared" si="17"/>
        <v>28586.410107730335</v>
      </c>
      <c r="J181">
        <f t="shared" si="18"/>
        <v>15754.43037202063</v>
      </c>
      <c r="K181">
        <f t="shared" si="19"/>
        <v>27150.564897610398</v>
      </c>
      <c r="L181" s="42">
        <f t="shared" si="20"/>
        <v>3441.732648526262</v>
      </c>
    </row>
    <row r="182" spans="2:12">
      <c r="B182" s="42">
        <v>0.18727683339945678</v>
      </c>
      <c r="C182" s="42">
        <v>55726.645710623496</v>
      </c>
      <c r="D182" s="42">
        <v>486.15527817621387</v>
      </c>
      <c r="E182" s="42">
        <v>366.34540849024933</v>
      </c>
      <c r="F182">
        <f t="shared" ref="F182:F245" si="21">-C182</f>
        <v>-55726.645710623496</v>
      </c>
      <c r="G182">
        <f t="shared" ref="G182:G245" si="22">((D182-E182)*$E$14-$E$18-$E$20)*(1-0.2)+$E$20-0.3*($F$14*D182-$E$14*D182)</f>
        <v>6369.3920712912404</v>
      </c>
      <c r="H182">
        <f t="shared" ref="H182:H245" si="23">($F$14*(D182-E182)-$F$18-$F$20)*0.8+$F$20-0.3*($G$14*D182-$F$14*D182)</f>
        <v>9244.8289437543881</v>
      </c>
      <c r="I182">
        <f t="shared" ref="I182:I245" si="24">($G$14*(D182-E182)-$G$18-$G$20)*0.8+$H$20-0.3*($H$14*D182-$G$14*D182)</f>
        <v>25246.458326975309</v>
      </c>
      <c r="J182">
        <f t="shared" ref="J182:J245" si="25">($H$14*(D182-E182)-$H$18-$H$20)*0.8+$H$20-0.3*($I$14*D182-$H$14*D182)</f>
        <v>13661.721243934448</v>
      </c>
      <c r="K182">
        <f t="shared" ref="K182:K245" si="26">($I$14*(D182-E182)-$I$18-$I$20)*0.8+$I$20+$I$14*D182*0.3+$I$31</f>
        <v>25495.558336130864</v>
      </c>
      <c r="L182" s="42">
        <f t="shared" ref="L182:L245" si="27">F182+G182/(1+B182)^1+H182/(1+B182)^2+I182/(1+B182)^3+J182/(1+B182)^4+K182/(1+B182)^5</f>
        <v>-11036.236399695976</v>
      </c>
    </row>
    <row r="183" spans="2:12">
      <c r="B183" s="42">
        <v>0.1542741172521134</v>
      </c>
      <c r="C183" s="42">
        <v>55667.744987334816</v>
      </c>
      <c r="D183" s="42">
        <v>457.45567186498613</v>
      </c>
      <c r="E183" s="42">
        <v>340.5084383678701</v>
      </c>
      <c r="F183">
        <f t="shared" si="21"/>
        <v>-55667.744987334816</v>
      </c>
      <c r="G183">
        <f t="shared" si="22"/>
        <v>6398.677632984407</v>
      </c>
      <c r="H183">
        <f t="shared" si="23"/>
        <v>9205.4112369151953</v>
      </c>
      <c r="I183">
        <f t="shared" si="24"/>
        <v>24363.447981200603</v>
      </c>
      <c r="J183">
        <f t="shared" si="25"/>
        <v>13260.512710959199</v>
      </c>
      <c r="K183">
        <f t="shared" si="26"/>
        <v>24623.559068575094</v>
      </c>
      <c r="L183" s="42">
        <f t="shared" si="27"/>
        <v>-7885.708877019526</v>
      </c>
    </row>
    <row r="184" spans="2:12">
      <c r="B184" s="42">
        <v>0.14299142429883727</v>
      </c>
      <c r="C184" s="42">
        <v>59622.333445234537</v>
      </c>
      <c r="D184" s="42">
        <v>487.43705557420577</v>
      </c>
      <c r="E184" s="42">
        <v>333.04055909909363</v>
      </c>
      <c r="F184">
        <f t="shared" si="21"/>
        <v>-59622.333445234537</v>
      </c>
      <c r="G184">
        <f t="shared" si="22"/>
        <v>9124.7862178411197</v>
      </c>
      <c r="H184">
        <f t="shared" si="23"/>
        <v>12830.302133243811</v>
      </c>
      <c r="I184">
        <f t="shared" si="24"/>
        <v>29696.618549150058</v>
      </c>
      <c r="J184">
        <f t="shared" si="25"/>
        <v>16436.342051454205</v>
      </c>
      <c r="K184">
        <f t="shared" si="26"/>
        <v>27739.865108188118</v>
      </c>
      <c r="L184" s="42">
        <f t="shared" si="27"/>
        <v>1919.0361163646958</v>
      </c>
    </row>
    <row r="185" spans="2:12">
      <c r="B185" s="42">
        <v>0.12131412701803644</v>
      </c>
      <c r="C185" s="42">
        <v>55283.059175389877</v>
      </c>
      <c r="D185" s="42">
        <v>515.59343241676072</v>
      </c>
      <c r="E185" s="42">
        <v>337.59544663838619</v>
      </c>
      <c r="F185">
        <f t="shared" si="21"/>
        <v>-55283.059175389877</v>
      </c>
      <c r="G185">
        <f t="shared" si="22"/>
        <v>10759.497970519114</v>
      </c>
      <c r="H185">
        <f t="shared" si="23"/>
        <v>15031.449629200106</v>
      </c>
      <c r="I185">
        <f t="shared" si="24"/>
        <v>33224.423963133631</v>
      </c>
      <c r="J185">
        <f t="shared" si="25"/>
        <v>18493.399456770527</v>
      </c>
      <c r="K185">
        <f t="shared" si="26"/>
        <v>29926.113467818228</v>
      </c>
      <c r="L185" s="42">
        <f t="shared" si="27"/>
        <v>18412.227989104107</v>
      </c>
    </row>
    <row r="186" spans="2:12">
      <c r="B186" s="42">
        <v>0.16203192236091191</v>
      </c>
      <c r="C186" s="42">
        <v>59222.54097109897</v>
      </c>
      <c r="D186" s="42">
        <v>477.55516220587788</v>
      </c>
      <c r="E186" s="42">
        <v>320.8102664265877</v>
      </c>
      <c r="F186">
        <f t="shared" si="21"/>
        <v>-59222.54097109897</v>
      </c>
      <c r="G186">
        <f t="shared" si="22"/>
        <v>9401.5952024903127</v>
      </c>
      <c r="H186">
        <f t="shared" si="23"/>
        <v>13163.472701193277</v>
      </c>
      <c r="I186">
        <f t="shared" si="24"/>
        <v>29819.339579454943</v>
      </c>
      <c r="J186">
        <f t="shared" si="25"/>
        <v>16564.922635578481</v>
      </c>
      <c r="K186">
        <f t="shared" si="26"/>
        <v>27652.99722281564</v>
      </c>
      <c r="L186" s="42">
        <f t="shared" si="27"/>
        <v>-243.43624021151118</v>
      </c>
    </row>
    <row r="187" spans="2:12">
      <c r="B187" s="42">
        <v>0.13541673024689474</v>
      </c>
      <c r="C187" s="42">
        <v>57873.470259712514</v>
      </c>
      <c r="D187" s="42">
        <v>500.19074068422498</v>
      </c>
      <c r="E187" s="42">
        <v>325.52232428968171</v>
      </c>
      <c r="F187">
        <f t="shared" si="21"/>
        <v>-57873.470259712514</v>
      </c>
      <c r="G187">
        <f t="shared" si="22"/>
        <v>10631.756645405436</v>
      </c>
      <c r="H187">
        <f t="shared" si="23"/>
        <v>14823.798638874479</v>
      </c>
      <c r="I187">
        <f t="shared" si="24"/>
        <v>32520.990630817592</v>
      </c>
      <c r="J187">
        <f t="shared" si="25"/>
        <v>18134.617755668813</v>
      </c>
      <c r="K187">
        <f t="shared" si="26"/>
        <v>29343.356425672166</v>
      </c>
      <c r="L187" s="42">
        <f t="shared" si="27"/>
        <v>11668.297472427006</v>
      </c>
    </row>
    <row r="188" spans="2:12">
      <c r="B188" s="42">
        <v>0.11084017456587421</v>
      </c>
      <c r="C188" s="42">
        <v>55935.239722891936</v>
      </c>
      <c r="D188" s="42">
        <v>513.32285531174659</v>
      </c>
      <c r="E188" s="42">
        <v>338.3309427167577</v>
      </c>
      <c r="F188">
        <f t="shared" si="21"/>
        <v>-55935.239722891936</v>
      </c>
      <c r="G188">
        <f t="shared" si="22"/>
        <v>10539.447309793395</v>
      </c>
      <c r="H188">
        <f t="shared" si="23"/>
        <v>14739.253212073127</v>
      </c>
      <c r="I188">
        <f t="shared" si="24"/>
        <v>32798.776207770017</v>
      </c>
      <c r="J188">
        <f t="shared" si="25"/>
        <v>18239.290139469591</v>
      </c>
      <c r="K188">
        <f t="shared" si="26"/>
        <v>29679.230933561208</v>
      </c>
      <c r="L188" s="42">
        <f t="shared" si="27"/>
        <v>18950.152723291263</v>
      </c>
    </row>
    <row r="189" spans="2:12">
      <c r="B189" s="42">
        <v>0.10130619220557269</v>
      </c>
      <c r="C189" s="42">
        <v>58149.662770470291</v>
      </c>
      <c r="D189" s="42">
        <v>461.03854487746821</v>
      </c>
      <c r="E189" s="42">
        <v>324.02233954893643</v>
      </c>
      <c r="F189">
        <f t="shared" si="21"/>
        <v>-58149.662770470291</v>
      </c>
      <c r="G189">
        <f t="shared" si="22"/>
        <v>7971.9495223853291</v>
      </c>
      <c r="H189">
        <f t="shared" si="23"/>
        <v>11260.33845027009</v>
      </c>
      <c r="I189">
        <f t="shared" si="24"/>
        <v>26996.768089846497</v>
      </c>
      <c r="J189">
        <f t="shared" si="25"/>
        <v>14887.527695547353</v>
      </c>
      <c r="K189">
        <f t="shared" si="26"/>
        <v>25993.962218085271</v>
      </c>
      <c r="L189" s="42">
        <f t="shared" si="27"/>
        <v>4748.9039491710464</v>
      </c>
    </row>
    <row r="190" spans="2:12">
      <c r="B190" s="42">
        <v>0.11928769798883024</v>
      </c>
      <c r="C190" s="42">
        <v>55485.396893215737</v>
      </c>
      <c r="D190" s="42">
        <v>515.85894344920189</v>
      </c>
      <c r="E190" s="42">
        <v>354.73006378368478</v>
      </c>
      <c r="F190">
        <f t="shared" si="21"/>
        <v>-55485.396893215737</v>
      </c>
      <c r="G190">
        <f t="shared" si="22"/>
        <v>9407.5798821985518</v>
      </c>
      <c r="H190">
        <f t="shared" si="23"/>
        <v>13274.67299417096</v>
      </c>
      <c r="I190">
        <f t="shared" si="24"/>
        <v>31069.957579271824</v>
      </c>
      <c r="J190">
        <f t="shared" si="25"/>
        <v>17145.46403393658</v>
      </c>
      <c r="K190">
        <f t="shared" si="26"/>
        <v>28852.86294137394</v>
      </c>
      <c r="L190" s="42">
        <f t="shared" si="27"/>
        <v>13020.83097382031</v>
      </c>
    </row>
    <row r="191" spans="2:12">
      <c r="B191" s="42">
        <v>0.12840052491836298</v>
      </c>
      <c r="C191" s="42">
        <v>57558.824427014988</v>
      </c>
      <c r="D191" s="42">
        <v>529.4946134830775</v>
      </c>
      <c r="E191" s="42">
        <v>343.87615588854641</v>
      </c>
      <c r="F191">
        <f t="shared" si="21"/>
        <v>-57558.824427014988</v>
      </c>
      <c r="G191">
        <f t="shared" si="22"/>
        <v>11244.025086214791</v>
      </c>
      <c r="H191">
        <f t="shared" si="23"/>
        <v>15698.868068483534</v>
      </c>
      <c r="I191">
        <f t="shared" si="24"/>
        <v>34450.065614795378</v>
      </c>
      <c r="J191">
        <f t="shared" si="25"/>
        <v>19186.444288460953</v>
      </c>
      <c r="K191">
        <f t="shared" si="26"/>
        <v>30747.45200964385</v>
      </c>
      <c r="L191" s="42">
        <f t="shared" si="27"/>
        <v>17353.802228837376</v>
      </c>
    </row>
    <row r="192" spans="2:12">
      <c r="B192" s="42">
        <v>0.16830347605822932</v>
      </c>
      <c r="C192" s="42">
        <v>55235.602893154697</v>
      </c>
      <c r="D192" s="42">
        <v>488.26105533005767</v>
      </c>
      <c r="E192" s="42">
        <v>323.81633960997345</v>
      </c>
      <c r="F192">
        <f t="shared" si="21"/>
        <v>-55235.602893154697</v>
      </c>
      <c r="G192">
        <f t="shared" si="22"/>
        <v>9921.2277596362146</v>
      </c>
      <c r="H192">
        <f t="shared" si="23"/>
        <v>13867.900936918242</v>
      </c>
      <c r="I192">
        <f t="shared" si="24"/>
        <v>30997.622608111818</v>
      </c>
      <c r="J192">
        <f t="shared" si="25"/>
        <v>17245.143589587082</v>
      </c>
      <c r="K192">
        <f t="shared" si="26"/>
        <v>28402.727134006775</v>
      </c>
      <c r="L192" s="42">
        <f t="shared" si="27"/>
        <v>5160.541611603725</v>
      </c>
    </row>
    <row r="193" spans="2:12">
      <c r="B193" s="42">
        <v>0.12767418439283426</v>
      </c>
      <c r="C193" s="42">
        <v>56434.980315561384</v>
      </c>
      <c r="D193" s="42">
        <v>461.1423078096866</v>
      </c>
      <c r="E193" s="42">
        <v>343.28562273018588</v>
      </c>
      <c r="F193">
        <f t="shared" si="21"/>
        <v>-56434.980315561384</v>
      </c>
      <c r="G193">
        <f t="shared" si="22"/>
        <v>6438.2540360728799</v>
      </c>
      <c r="H193">
        <f t="shared" si="23"/>
        <v>9266.8144779808936</v>
      </c>
      <c r="I193">
        <f t="shared" si="24"/>
        <v>24546.217230750452</v>
      </c>
      <c r="J193">
        <f t="shared" si="25"/>
        <v>13355.388653218177</v>
      </c>
      <c r="K193">
        <f t="shared" si="26"/>
        <v>24770.243232520523</v>
      </c>
      <c r="L193" s="42">
        <f t="shared" si="27"/>
        <v>-4478.7725195780313</v>
      </c>
    </row>
    <row r="194" spans="2:12">
      <c r="B194" s="42">
        <v>0.11991027558214057</v>
      </c>
      <c r="C194" s="42">
        <v>59801.324503311262</v>
      </c>
      <c r="D194" s="42">
        <v>500.35859248634296</v>
      </c>
      <c r="E194" s="42">
        <v>327.6891384624775</v>
      </c>
      <c r="F194">
        <f t="shared" si="21"/>
        <v>-59801.324503311262</v>
      </c>
      <c r="G194">
        <f t="shared" si="22"/>
        <v>10470.32898953215</v>
      </c>
      <c r="H194">
        <f t="shared" si="23"/>
        <v>14614.395886104925</v>
      </c>
      <c r="I194">
        <f t="shared" si="24"/>
        <v>32268.14477980895</v>
      </c>
      <c r="J194">
        <f t="shared" si="25"/>
        <v>17975.707876827295</v>
      </c>
      <c r="K194">
        <f t="shared" si="26"/>
        <v>29219.45127719962</v>
      </c>
      <c r="L194" s="42">
        <f t="shared" si="27"/>
        <v>12187.74813737671</v>
      </c>
    </row>
    <row r="195" spans="2:12">
      <c r="B195" s="42">
        <v>0.15945005645924254</v>
      </c>
      <c r="C195" s="42">
        <v>55770.59236426893</v>
      </c>
      <c r="D195" s="42">
        <v>542.86172063356423</v>
      </c>
      <c r="E195" s="42">
        <v>359.01791436506244</v>
      </c>
      <c r="F195">
        <f t="shared" si="21"/>
        <v>-55770.59236426893</v>
      </c>
      <c r="G195">
        <f t="shared" si="22"/>
        <v>10981.749015778067</v>
      </c>
      <c r="H195">
        <f t="shared" si="23"/>
        <v>15394.000366222106</v>
      </c>
      <c r="I195">
        <f t="shared" si="24"/>
        <v>34463.518173772383</v>
      </c>
      <c r="J195">
        <f t="shared" si="25"/>
        <v>19124.674825281531</v>
      </c>
      <c r="K195">
        <f t="shared" si="26"/>
        <v>30954.684896389655</v>
      </c>
      <c r="L195" s="42">
        <f t="shared" si="27"/>
        <v>12618.133016041049</v>
      </c>
    </row>
    <row r="196" spans="2:12">
      <c r="B196" s="42">
        <v>0.16020081179235207</v>
      </c>
      <c r="C196" s="42">
        <v>58234.351634266182</v>
      </c>
      <c r="D196" s="42">
        <v>483.69548631244851</v>
      </c>
      <c r="E196" s="42">
        <v>347.52159184545428</v>
      </c>
      <c r="F196">
        <f t="shared" si="21"/>
        <v>-58234.351634266182</v>
      </c>
      <c r="G196">
        <f t="shared" si="22"/>
        <v>7700.6521805475004</v>
      </c>
      <c r="H196">
        <f t="shared" si="23"/>
        <v>10968.825647755362</v>
      </c>
      <c r="I196">
        <f t="shared" si="24"/>
        <v>27296.777245399335</v>
      </c>
      <c r="J196">
        <f t="shared" si="25"/>
        <v>14956.084475234227</v>
      </c>
      <c r="K196">
        <f t="shared" si="26"/>
        <v>26483.820917386394</v>
      </c>
      <c r="L196" s="42">
        <f t="shared" si="27"/>
        <v>-5116.6155657354975</v>
      </c>
    </row>
    <row r="197" spans="2:12">
      <c r="B197" s="42">
        <v>0.14548783837397383</v>
      </c>
      <c r="C197" s="42">
        <v>58136.997589037754</v>
      </c>
      <c r="D197" s="42">
        <v>459.8330637531663</v>
      </c>
      <c r="E197" s="42">
        <v>351.22348704489275</v>
      </c>
      <c r="F197">
        <f t="shared" si="21"/>
        <v>-58136.997589037754</v>
      </c>
      <c r="G197">
        <f t="shared" si="22"/>
        <v>5710.2685628833869</v>
      </c>
      <c r="H197">
        <f t="shared" si="23"/>
        <v>8316.8984038819508</v>
      </c>
      <c r="I197">
        <f t="shared" si="24"/>
        <v>23339.020966216012</v>
      </c>
      <c r="J197">
        <f t="shared" si="25"/>
        <v>12607.764519180879</v>
      </c>
      <c r="K197">
        <f t="shared" si="26"/>
        <v>24147.006439405501</v>
      </c>
      <c r="L197" s="42">
        <f t="shared" si="27"/>
        <v>-11719.298639347575</v>
      </c>
    </row>
    <row r="198" spans="2:12">
      <c r="B198" s="42">
        <v>0.14004943998535113</v>
      </c>
      <c r="C198" s="42">
        <v>58564.561906796473</v>
      </c>
      <c r="D198" s="42">
        <v>474.50025940733053</v>
      </c>
      <c r="E198" s="42">
        <v>357.45536667989137</v>
      </c>
      <c r="F198">
        <f t="shared" si="21"/>
        <v>-58564.561906796473</v>
      </c>
      <c r="G198">
        <f t="shared" si="22"/>
        <v>6253.0890835291593</v>
      </c>
      <c r="H198">
        <f t="shared" si="23"/>
        <v>9062.1665089877006</v>
      </c>
      <c r="I198">
        <f t="shared" si="24"/>
        <v>24682.750938444162</v>
      </c>
      <c r="J198">
        <f t="shared" si="25"/>
        <v>13370.592974639118</v>
      </c>
      <c r="K198">
        <f t="shared" si="26"/>
        <v>25038.879360332037</v>
      </c>
      <c r="L198" s="42">
        <f t="shared" si="27"/>
        <v>-8532.5283479893642</v>
      </c>
    </row>
    <row r="199" spans="2:12">
      <c r="B199" s="42">
        <v>0.11597949156163213</v>
      </c>
      <c r="C199" s="42">
        <v>59787.133396404919</v>
      </c>
      <c r="D199" s="42">
        <v>534.21887874996185</v>
      </c>
      <c r="E199" s="42">
        <v>336.82180242316963</v>
      </c>
      <c r="F199">
        <f t="shared" si="21"/>
        <v>-59787.133396404919</v>
      </c>
      <c r="G199">
        <f t="shared" si="22"/>
        <v>12143.796197393724</v>
      </c>
      <c r="H199">
        <f t="shared" si="23"/>
        <v>16881.326029236734</v>
      </c>
      <c r="I199">
        <f t="shared" si="24"/>
        <v>36042.765587328715</v>
      </c>
      <c r="J199">
        <f t="shared" si="25"/>
        <v>20157.079378643153</v>
      </c>
      <c r="K199">
        <f t="shared" si="26"/>
        <v>31614.665974913783</v>
      </c>
      <c r="L199" s="42">
        <f t="shared" si="27"/>
        <v>21842.520577517469</v>
      </c>
    </row>
    <row r="200" spans="2:12">
      <c r="B200" s="42">
        <v>0.12666707358012635</v>
      </c>
      <c r="C200" s="42">
        <v>57971.587267677845</v>
      </c>
      <c r="D200" s="42">
        <v>495.03921628467668</v>
      </c>
      <c r="E200" s="42">
        <v>329.31730094302196</v>
      </c>
      <c r="F200">
        <f t="shared" si="21"/>
        <v>-57971.587267677845</v>
      </c>
      <c r="G200">
        <f t="shared" si="22"/>
        <v>9962.4002807702873</v>
      </c>
      <c r="H200">
        <f t="shared" si="23"/>
        <v>13939.726248970002</v>
      </c>
      <c r="I200">
        <f t="shared" si="24"/>
        <v>31283.111056855985</v>
      </c>
      <c r="J200">
        <f t="shared" si="25"/>
        <v>17387.988525040437</v>
      </c>
      <c r="K200">
        <f t="shared" si="26"/>
        <v>28647.143772698142</v>
      </c>
      <c r="L200" s="42">
        <f t="shared" si="27"/>
        <v>10297.052053178099</v>
      </c>
    </row>
    <row r="201" spans="2:12">
      <c r="B201" s="42">
        <v>0.17716605121005891</v>
      </c>
      <c r="C201" s="42">
        <v>58471.022675252541</v>
      </c>
      <c r="D201" s="42">
        <v>489.28342539750361</v>
      </c>
      <c r="E201" s="42">
        <v>360.69795831171604</v>
      </c>
      <c r="F201">
        <f t="shared" si="21"/>
        <v>-58471.022675252541</v>
      </c>
      <c r="G201">
        <f t="shared" si="22"/>
        <v>7043.2865382854716</v>
      </c>
      <c r="H201">
        <f t="shared" si="23"/>
        <v>10129.33774834438</v>
      </c>
      <c r="I201">
        <f t="shared" si="24"/>
        <v>26426.041444135873</v>
      </c>
      <c r="J201">
        <f t="shared" si="25"/>
        <v>14382.537919248027</v>
      </c>
      <c r="K201">
        <f t="shared" si="26"/>
        <v>26132.272103030489</v>
      </c>
      <c r="L201" s="42">
        <f t="shared" si="27"/>
        <v>-9926.9532896642922</v>
      </c>
    </row>
    <row r="202" spans="2:12">
      <c r="B202" s="42">
        <v>0.13399151585436567</v>
      </c>
      <c r="C202" s="42">
        <v>59376.506851405378</v>
      </c>
      <c r="D202" s="42">
        <v>536.54133732108528</v>
      </c>
      <c r="E202" s="42">
        <v>362.98532059694202</v>
      </c>
      <c r="F202">
        <f t="shared" si="21"/>
        <v>-59376.506851405378</v>
      </c>
      <c r="G202">
        <f t="shared" si="22"/>
        <v>10215.609302041696</v>
      </c>
      <c r="H202">
        <f t="shared" si="23"/>
        <v>14380.953703421132</v>
      </c>
      <c r="I202">
        <f t="shared" si="24"/>
        <v>33032.91421246987</v>
      </c>
      <c r="J202">
        <f t="shared" si="25"/>
        <v>18263.729361857975</v>
      </c>
      <c r="K202">
        <f t="shared" si="26"/>
        <v>30144.577166051218</v>
      </c>
      <c r="L202" s="42">
        <f t="shared" si="27"/>
        <v>10587.801547482031</v>
      </c>
    </row>
    <row r="203" spans="2:12">
      <c r="B203" s="42">
        <v>0.12054506057924132</v>
      </c>
      <c r="C203" s="42">
        <v>58995.941038239689</v>
      </c>
      <c r="D203" s="42">
        <v>474.46058534501174</v>
      </c>
      <c r="E203" s="42">
        <v>322.77413251136812</v>
      </c>
      <c r="F203">
        <f t="shared" si="21"/>
        <v>-58995.941038239689</v>
      </c>
      <c r="G203">
        <f t="shared" si="22"/>
        <v>9024.7709585863849</v>
      </c>
      <c r="H203">
        <f t="shared" si="23"/>
        <v>12665.245826593829</v>
      </c>
      <c r="I203">
        <f t="shared" si="24"/>
        <v>29116.156498916593</v>
      </c>
      <c r="J203">
        <f t="shared" si="25"/>
        <v>16141.679738761561</v>
      </c>
      <c r="K203">
        <f t="shared" si="26"/>
        <v>27254.98702963347</v>
      </c>
      <c r="L203" s="42">
        <f t="shared" si="27"/>
        <v>5504.9034270226057</v>
      </c>
    </row>
    <row r="204" spans="2:12">
      <c r="B204" s="42">
        <v>0.19384441663869137</v>
      </c>
      <c r="C204" s="42">
        <v>57727.591784417251</v>
      </c>
      <c r="D204" s="42">
        <v>462.58278145695363</v>
      </c>
      <c r="E204" s="42">
        <v>350.64516129032256</v>
      </c>
      <c r="F204">
        <f t="shared" si="21"/>
        <v>-57727.591784417251</v>
      </c>
      <c r="G204">
        <f t="shared" si="22"/>
        <v>5951.7645802179022</v>
      </c>
      <c r="H204">
        <f t="shared" si="23"/>
        <v>8638.2674642170459</v>
      </c>
      <c r="I204">
        <f t="shared" si="24"/>
        <v>23814.505447553944</v>
      </c>
      <c r="J204">
        <f t="shared" si="25"/>
        <v>12890.506302072205</v>
      </c>
      <c r="K204">
        <f t="shared" si="26"/>
        <v>24425.994445631273</v>
      </c>
      <c r="L204" s="42">
        <f t="shared" si="27"/>
        <v>-16267.933400900623</v>
      </c>
    </row>
    <row r="205" spans="2:12">
      <c r="B205" s="42">
        <v>0.11290932950834681</v>
      </c>
      <c r="C205" s="42">
        <v>56060.82338938566</v>
      </c>
      <c r="D205" s="42">
        <v>519.67070528275394</v>
      </c>
      <c r="E205" s="42">
        <v>348.69960631122774</v>
      </c>
      <c r="F205">
        <f t="shared" si="21"/>
        <v>-56060.82338938566</v>
      </c>
      <c r="G205">
        <f t="shared" si="22"/>
        <v>10160.651570177308</v>
      </c>
      <c r="H205">
        <f t="shared" si="23"/>
        <v>14263.957945493939</v>
      </c>
      <c r="I205">
        <f t="shared" si="24"/>
        <v>32398.373363444927</v>
      </c>
      <c r="J205">
        <f t="shared" si="25"/>
        <v>17955.712149418618</v>
      </c>
      <c r="K205">
        <f t="shared" si="26"/>
        <v>29574.24726096377</v>
      </c>
      <c r="L205" s="42">
        <f t="shared" si="27"/>
        <v>17117.053822580034</v>
      </c>
    </row>
    <row r="206" spans="2:12">
      <c r="B206" s="42">
        <v>0.17531968138676107</v>
      </c>
      <c r="C206" s="42">
        <v>56767.632068849758</v>
      </c>
      <c r="D206" s="42">
        <v>452.75276955473493</v>
      </c>
      <c r="E206" s="42">
        <v>324.35651722769859</v>
      </c>
      <c r="F206">
        <f t="shared" si="21"/>
        <v>-56767.632068849758</v>
      </c>
      <c r="G206">
        <f t="shared" si="22"/>
        <v>7356.9252601702919</v>
      </c>
      <c r="H206">
        <f t="shared" si="23"/>
        <v>10438.435316019168</v>
      </c>
      <c r="I206">
        <f t="shared" si="24"/>
        <v>25744.270149845877</v>
      </c>
      <c r="J206">
        <f t="shared" si="25"/>
        <v>14148.216803491316</v>
      </c>
      <c r="K206">
        <f t="shared" si="26"/>
        <v>25243.426618243961</v>
      </c>
      <c r="L206" s="42">
        <f t="shared" si="27"/>
        <v>-8424.8660225803105</v>
      </c>
    </row>
    <row r="207" spans="2:12">
      <c r="B207" s="42">
        <v>0.16982024597918638</v>
      </c>
      <c r="C207" s="42">
        <v>56398.815881832328</v>
      </c>
      <c r="D207" s="42">
        <v>484.36384166997283</v>
      </c>
      <c r="E207" s="42">
        <v>368.46644489883113</v>
      </c>
      <c r="F207">
        <f t="shared" si="21"/>
        <v>-56398.815881832328</v>
      </c>
      <c r="G207">
        <f t="shared" si="22"/>
        <v>6072.5171666615815</v>
      </c>
      <c r="H207">
        <f t="shared" si="23"/>
        <v>8854.054689168981</v>
      </c>
      <c r="I207">
        <f t="shared" si="24"/>
        <v>24713.415936765654</v>
      </c>
      <c r="J207">
        <f t="shared" si="25"/>
        <v>13337.974791711173</v>
      </c>
      <c r="K207">
        <f t="shared" si="26"/>
        <v>25202.165593432415</v>
      </c>
      <c r="L207" s="42">
        <f t="shared" si="27"/>
        <v>-10674.384663251878</v>
      </c>
    </row>
    <row r="208" spans="2:12">
      <c r="B208" s="42">
        <v>0.16942350535599843</v>
      </c>
      <c r="C208" s="42">
        <v>59557.939390240179</v>
      </c>
      <c r="D208" s="42">
        <v>515.27298806726276</v>
      </c>
      <c r="E208" s="42">
        <v>356.27582628864405</v>
      </c>
      <c r="F208">
        <f t="shared" si="21"/>
        <v>-59557.939390240179</v>
      </c>
      <c r="G208">
        <f t="shared" si="22"/>
        <v>9242.3160496841301</v>
      </c>
      <c r="H208">
        <f t="shared" si="23"/>
        <v>13058.247932370981</v>
      </c>
      <c r="I208">
        <f t="shared" si="24"/>
        <v>30786.550492873925</v>
      </c>
      <c r="J208">
        <f t="shared" si="25"/>
        <v>16971.410870693071</v>
      </c>
      <c r="K208">
        <f t="shared" si="26"/>
        <v>28702.370067445903</v>
      </c>
      <c r="L208" s="42">
        <f t="shared" si="27"/>
        <v>-656.89928308657363</v>
      </c>
    </row>
    <row r="209" spans="2:12">
      <c r="B209" s="42">
        <v>0.18650166325876646</v>
      </c>
      <c r="C209" s="42">
        <v>59756.004516739406</v>
      </c>
      <c r="D209" s="42">
        <v>540.39887691885133</v>
      </c>
      <c r="E209" s="42">
        <v>357.31955931272319</v>
      </c>
      <c r="F209">
        <f t="shared" si="21"/>
        <v>-59756.004516739406</v>
      </c>
      <c r="G209">
        <f t="shared" si="22"/>
        <v>10942.75551622059</v>
      </c>
      <c r="H209">
        <f t="shared" si="23"/>
        <v>15336.659138767667</v>
      </c>
      <c r="I209">
        <f t="shared" si="24"/>
        <v>34321.332438123725</v>
      </c>
      <c r="J209">
        <f t="shared" si="25"/>
        <v>19048.73867000336</v>
      </c>
      <c r="K209">
        <f t="shared" si="26"/>
        <v>30846.649372844633</v>
      </c>
      <c r="L209" s="42">
        <f t="shared" si="27"/>
        <v>3637.8680994462866</v>
      </c>
    </row>
    <row r="210" spans="2:12">
      <c r="B210" s="42">
        <v>0.14204840235602895</v>
      </c>
      <c r="C210" s="42">
        <v>58545.793023468737</v>
      </c>
      <c r="D210" s="42">
        <v>476.27338480788598</v>
      </c>
      <c r="E210" s="42">
        <v>361.14200262459184</v>
      </c>
      <c r="F210">
        <f t="shared" si="21"/>
        <v>-58545.793023468737</v>
      </c>
      <c r="G210">
        <f t="shared" si="22"/>
        <v>6084.0501113925566</v>
      </c>
      <c r="H210">
        <f t="shared" si="23"/>
        <v>8847.2032837916195</v>
      </c>
      <c r="I210">
        <f t="shared" si="24"/>
        <v>24469.737846003598</v>
      </c>
      <c r="J210">
        <f t="shared" si="25"/>
        <v>13228.150883510847</v>
      </c>
      <c r="K210">
        <f t="shared" si="26"/>
        <v>24958.969695120089</v>
      </c>
      <c r="L210" s="42">
        <f t="shared" si="27"/>
        <v>-9384.4223521855147</v>
      </c>
    </row>
    <row r="211" spans="2:12">
      <c r="B211" s="42">
        <v>0.14171575060274058</v>
      </c>
      <c r="C211" s="42">
        <v>55740.531632435072</v>
      </c>
      <c r="D211" s="42">
        <v>490.49806207464826</v>
      </c>
      <c r="E211" s="42">
        <v>352.71279030732137</v>
      </c>
      <c r="F211">
        <f t="shared" si="21"/>
        <v>-55740.531632435072</v>
      </c>
      <c r="G211">
        <f t="shared" si="22"/>
        <v>7768.3391827143159</v>
      </c>
      <c r="H211">
        <f t="shared" si="23"/>
        <v>11075.185705130163</v>
      </c>
      <c r="I211">
        <f t="shared" si="24"/>
        <v>27625.479903561511</v>
      </c>
      <c r="J211">
        <f t="shared" si="25"/>
        <v>15125.810113834041</v>
      </c>
      <c r="K211">
        <f t="shared" si="26"/>
        <v>26750.210882900479</v>
      </c>
      <c r="L211" s="42">
        <f t="shared" si="27"/>
        <v>813.55929592971734</v>
      </c>
    </row>
    <row r="212" spans="2:12">
      <c r="B212" s="42">
        <v>0.13375652333140051</v>
      </c>
      <c r="C212" s="42">
        <v>58452.864162114325</v>
      </c>
      <c r="D212" s="42">
        <v>465.424054689169</v>
      </c>
      <c r="E212" s="42">
        <v>322.17902157658619</v>
      </c>
      <c r="F212">
        <f t="shared" si="21"/>
        <v>-58452.864162114325</v>
      </c>
      <c r="G212">
        <f t="shared" si="22"/>
        <v>8430.7861568041044</v>
      </c>
      <c r="H212">
        <f t="shared" si="23"/>
        <v>11868.666951506093</v>
      </c>
      <c r="I212">
        <f t="shared" si="24"/>
        <v>27872.99722281564</v>
      </c>
      <c r="J212">
        <f t="shared" si="25"/>
        <v>15412.14697714164</v>
      </c>
      <c r="K212">
        <f t="shared" si="26"/>
        <v>26497.859431745354</v>
      </c>
      <c r="L212" s="42">
        <f t="shared" si="27"/>
        <v>815.89783732413889</v>
      </c>
    </row>
    <row r="213" spans="2:12">
      <c r="B213" s="42">
        <v>0.16455580309457687</v>
      </c>
      <c r="C213" s="42">
        <v>56072.115237891783</v>
      </c>
      <c r="D213" s="42">
        <v>488.36787011322366</v>
      </c>
      <c r="E213" s="42">
        <v>346.34815515610217</v>
      </c>
      <c r="F213">
        <f t="shared" si="21"/>
        <v>-56072.115237891783</v>
      </c>
      <c r="G213">
        <f t="shared" si="22"/>
        <v>8126.2663655507085</v>
      </c>
      <c r="H213">
        <f t="shared" si="23"/>
        <v>11534.739524521621</v>
      </c>
      <c r="I213">
        <f t="shared" si="24"/>
        <v>28129.145176549577</v>
      </c>
      <c r="J213">
        <f t="shared" si="25"/>
        <v>15451.784417249062</v>
      </c>
      <c r="K213">
        <f t="shared" si="26"/>
        <v>26970.090639973143</v>
      </c>
      <c r="L213" s="42">
        <f t="shared" si="27"/>
        <v>-1785.6631306636991</v>
      </c>
    </row>
    <row r="214" spans="2:12">
      <c r="B214" s="42">
        <v>0.16131168553727837</v>
      </c>
      <c r="C214" s="42">
        <v>57767.723624378188</v>
      </c>
      <c r="D214" s="42">
        <v>524.75814081240276</v>
      </c>
      <c r="E214" s="42">
        <v>355.79363383892331</v>
      </c>
      <c r="F214">
        <f t="shared" si="21"/>
        <v>-57767.723624378188</v>
      </c>
      <c r="G214">
        <f t="shared" si="22"/>
        <v>9954.3372905667329</v>
      </c>
      <c r="H214">
        <f t="shared" si="23"/>
        <v>14009.485457930237</v>
      </c>
      <c r="I214">
        <f t="shared" si="24"/>
        <v>32233.10342722862</v>
      </c>
      <c r="J214">
        <f t="shared" si="25"/>
        <v>17825.709402752775</v>
      </c>
      <c r="K214">
        <f t="shared" si="26"/>
        <v>29567.923825800353</v>
      </c>
      <c r="L214" s="42">
        <f t="shared" si="27"/>
        <v>5571.1513643388207</v>
      </c>
    </row>
    <row r="215" spans="2:12">
      <c r="B215" s="42">
        <v>0.12384105960264902</v>
      </c>
      <c r="C215" s="42">
        <v>59262.520218512531</v>
      </c>
      <c r="D215" s="42">
        <v>504.78682821131014</v>
      </c>
      <c r="E215" s="42">
        <v>367.62565996276743</v>
      </c>
      <c r="F215">
        <f t="shared" si="21"/>
        <v>-59262.520218512531</v>
      </c>
      <c r="G215">
        <f t="shared" si="22"/>
        <v>7589.8120059816265</v>
      </c>
      <c r="H215">
        <f t="shared" si="23"/>
        <v>10881.680043946646</v>
      </c>
      <c r="I215">
        <f t="shared" si="24"/>
        <v>27802.792443617051</v>
      </c>
      <c r="J215">
        <f t="shared" si="25"/>
        <v>15161.614429151277</v>
      </c>
      <c r="K215">
        <f t="shared" si="26"/>
        <v>27053.198644978176</v>
      </c>
      <c r="L215" s="42">
        <f t="shared" si="27"/>
        <v>288.40705261213407</v>
      </c>
    </row>
    <row r="216" spans="2:12">
      <c r="B216" s="42">
        <v>0.16704611346781825</v>
      </c>
      <c r="C216" s="42">
        <v>57123.172704245124</v>
      </c>
      <c r="D216" s="42">
        <v>532.59834589678644</v>
      </c>
      <c r="E216" s="42">
        <v>328.59553819391459</v>
      </c>
      <c r="F216">
        <f t="shared" si="21"/>
        <v>-57123.172704245124</v>
      </c>
      <c r="G216">
        <f t="shared" si="22"/>
        <v>12686.839503158666</v>
      </c>
      <c r="H216">
        <f t="shared" si="23"/>
        <v>17582.906888027592</v>
      </c>
      <c r="I216">
        <f t="shared" si="24"/>
        <v>36859.129612109755</v>
      </c>
      <c r="J216">
        <f t="shared" si="25"/>
        <v>20675.814691610463</v>
      </c>
      <c r="K216">
        <f t="shared" si="26"/>
        <v>31998.539994506675</v>
      </c>
      <c r="L216" s="42">
        <f t="shared" si="27"/>
        <v>15772.642564401596</v>
      </c>
    </row>
    <row r="217" spans="2:12">
      <c r="B217" s="42">
        <v>0.12741782891323589</v>
      </c>
      <c r="C217" s="42">
        <v>57258.522293771173</v>
      </c>
      <c r="D217" s="42">
        <v>488.96603289895319</v>
      </c>
      <c r="E217" s="42">
        <v>330.38239692373423</v>
      </c>
      <c r="F217">
        <f t="shared" si="21"/>
        <v>-57258.522293771173</v>
      </c>
      <c r="G217">
        <f t="shared" si="22"/>
        <v>9445.9965819269382</v>
      </c>
      <c r="H217">
        <f t="shared" si="23"/>
        <v>13252.00384533219</v>
      </c>
      <c r="I217">
        <f t="shared" si="24"/>
        <v>30260.093997009186</v>
      </c>
      <c r="J217">
        <f t="shared" si="25"/>
        <v>16780.487075411234</v>
      </c>
      <c r="K217">
        <f t="shared" si="26"/>
        <v>28044.537491988889</v>
      </c>
      <c r="L217" s="42">
        <f t="shared" si="27"/>
        <v>8444.921381297032</v>
      </c>
    </row>
    <row r="218" spans="2:12">
      <c r="B218" s="42">
        <v>0.17923520615253152</v>
      </c>
      <c r="C218" s="42">
        <v>55338.297677541428</v>
      </c>
      <c r="D218" s="42">
        <v>519.94232001709031</v>
      </c>
      <c r="E218" s="42">
        <v>323.63017670216988</v>
      </c>
      <c r="F218">
        <f t="shared" si="21"/>
        <v>-55338.297677541428</v>
      </c>
      <c r="G218">
        <f t="shared" si="22"/>
        <v>12185.490585039825</v>
      </c>
      <c r="H218">
        <f t="shared" si="23"/>
        <v>16896.982024597914</v>
      </c>
      <c r="I218">
        <f t="shared" si="24"/>
        <v>35646.916104617441</v>
      </c>
      <c r="J218">
        <f t="shared" si="25"/>
        <v>19984.625385296178</v>
      </c>
      <c r="K218">
        <f t="shared" si="26"/>
        <v>31202.592852565074</v>
      </c>
      <c r="L218" s="42">
        <f t="shared" si="27"/>
        <v>12901.87536738649</v>
      </c>
    </row>
    <row r="219" spans="2:12">
      <c r="B219" s="42">
        <v>0.1663350321970275</v>
      </c>
      <c r="C219" s="42">
        <v>56081.270790734583</v>
      </c>
      <c r="D219" s="42">
        <v>518.32178716391491</v>
      </c>
      <c r="E219" s="42">
        <v>364.92782372508924</v>
      </c>
      <c r="F219">
        <f t="shared" si="21"/>
        <v>-56081.270790734583</v>
      </c>
      <c r="G219">
        <f t="shared" si="22"/>
        <v>8766.6209906308213</v>
      </c>
      <c r="H219">
        <f t="shared" si="23"/>
        <v>12448.076113162637</v>
      </c>
      <c r="I219">
        <f t="shared" si="24"/>
        <v>30124.219489120151</v>
      </c>
      <c r="J219">
        <f t="shared" si="25"/>
        <v>16541.447798089543</v>
      </c>
      <c r="K219">
        <f t="shared" si="26"/>
        <v>28416.9365520188</v>
      </c>
      <c r="L219" s="42">
        <f t="shared" si="27"/>
        <v>1677.4071034640856</v>
      </c>
    </row>
    <row r="220" spans="2:12">
      <c r="B220" s="42">
        <v>0.1033143101290933</v>
      </c>
      <c r="C220" s="42">
        <v>56410.260322885828</v>
      </c>
      <c r="D220" s="42">
        <v>524.62385937070837</v>
      </c>
      <c r="E220" s="42">
        <v>352.30536820581682</v>
      </c>
      <c r="F220">
        <f t="shared" si="21"/>
        <v>-56410.260322885828</v>
      </c>
      <c r="G220">
        <f t="shared" si="22"/>
        <v>10223.86455885495</v>
      </c>
      <c r="H220">
        <f t="shared" si="23"/>
        <v>14359.508346812347</v>
      </c>
      <c r="I220">
        <f t="shared" si="24"/>
        <v>32659.99633777887</v>
      </c>
      <c r="J220">
        <f t="shared" si="25"/>
        <v>18093.222449415574</v>
      </c>
      <c r="K220">
        <f t="shared" si="26"/>
        <v>29779.35605945006</v>
      </c>
      <c r="L220" s="42">
        <f t="shared" si="27"/>
        <v>19394.549307231922</v>
      </c>
    </row>
    <row r="221" spans="2:12">
      <c r="B221" s="42">
        <v>0.1697531052583392</v>
      </c>
      <c r="C221" s="42">
        <v>59988.402966399124</v>
      </c>
      <c r="D221" s="42">
        <v>525.36851100192268</v>
      </c>
      <c r="E221" s="42">
        <v>358.19696646015808</v>
      </c>
      <c r="F221">
        <f t="shared" si="21"/>
        <v>-59988.402966399124</v>
      </c>
      <c r="G221">
        <f t="shared" si="22"/>
        <v>9805.4069643238654</v>
      </c>
      <c r="H221">
        <f t="shared" si="23"/>
        <v>13817.524033326214</v>
      </c>
      <c r="I221">
        <f t="shared" si="24"/>
        <v>32014.590899380477</v>
      </c>
      <c r="J221">
        <f t="shared" si="25"/>
        <v>17685.934629352705</v>
      </c>
      <c r="K221">
        <f t="shared" si="26"/>
        <v>29467.823114719082</v>
      </c>
      <c r="L221" s="42">
        <f t="shared" si="27"/>
        <v>1394.6967524966221</v>
      </c>
    </row>
    <row r="222" spans="2:12">
      <c r="B222" s="42">
        <v>0.17166051210058902</v>
      </c>
      <c r="C222" s="42">
        <v>58231.910153508099</v>
      </c>
      <c r="D222" s="42">
        <v>542.24829859309671</v>
      </c>
      <c r="E222" s="42">
        <v>355.95690786461989</v>
      </c>
      <c r="F222">
        <f t="shared" si="21"/>
        <v>-58231.910153508099</v>
      </c>
      <c r="G222">
        <f t="shared" si="22"/>
        <v>11183.076570940273</v>
      </c>
      <c r="H222">
        <f t="shared" si="23"/>
        <v>15654.069948423723</v>
      </c>
      <c r="I222">
        <f t="shared" si="24"/>
        <v>34765.767387920772</v>
      </c>
      <c r="J222">
        <f t="shared" si="25"/>
        <v>19316.801049836726</v>
      </c>
      <c r="K222">
        <f t="shared" si="26"/>
        <v>31096.608172856835</v>
      </c>
      <c r="L222" s="42">
        <f t="shared" si="27"/>
        <v>8663.7967222238731</v>
      </c>
    </row>
    <row r="223" spans="2:12">
      <c r="B223" s="42">
        <v>0.11223792229987488</v>
      </c>
      <c r="C223" s="42">
        <v>56193.578905606249</v>
      </c>
      <c r="D223" s="42">
        <v>450.0396740623188</v>
      </c>
      <c r="E223" s="42">
        <v>332.84524063844719</v>
      </c>
      <c r="F223">
        <f t="shared" si="21"/>
        <v>-56193.578905606249</v>
      </c>
      <c r="G223">
        <f t="shared" si="22"/>
        <v>6485.1976073488604</v>
      </c>
      <c r="H223">
        <f t="shared" si="23"/>
        <v>9297.8640095217779</v>
      </c>
      <c r="I223">
        <f t="shared" si="24"/>
        <v>24261.6016113773</v>
      </c>
      <c r="J223">
        <f t="shared" si="25"/>
        <v>13235.792718283641</v>
      </c>
      <c r="K223">
        <f t="shared" si="26"/>
        <v>24461.395916623434</v>
      </c>
      <c r="L223" s="42">
        <f t="shared" si="27"/>
        <v>-2193.7335316343033</v>
      </c>
    </row>
    <row r="224" spans="2:12">
      <c r="B224" s="42">
        <v>0.15175939207129124</v>
      </c>
      <c r="C224" s="42">
        <v>56321.14627521592</v>
      </c>
      <c r="D224" s="42">
        <v>454.05285805841243</v>
      </c>
      <c r="E224" s="42">
        <v>367.23654896694848</v>
      </c>
      <c r="F224">
        <f t="shared" si="21"/>
        <v>-56321.14627521592</v>
      </c>
      <c r="G224">
        <f t="shared" si="22"/>
        <v>4018.8290047914043</v>
      </c>
      <c r="H224">
        <f t="shared" si="23"/>
        <v>6102.4204229865427</v>
      </c>
      <c r="I224">
        <f t="shared" si="24"/>
        <v>20445.439008758807</v>
      </c>
      <c r="J224">
        <f t="shared" si="25"/>
        <v>10829.621875667592</v>
      </c>
      <c r="K224">
        <f t="shared" si="26"/>
        <v>22613.512375255588</v>
      </c>
      <c r="L224" s="42">
        <f t="shared" si="27"/>
        <v>-17538.50828170887</v>
      </c>
    </row>
    <row r="225" spans="2:12">
      <c r="B225" s="42">
        <v>0.19898373363444929</v>
      </c>
      <c r="C225" s="42">
        <v>59675.740836817531</v>
      </c>
      <c r="D225" s="42">
        <v>501.76854762413404</v>
      </c>
      <c r="E225" s="42">
        <v>367.21518601031528</v>
      </c>
      <c r="F225">
        <f t="shared" si="21"/>
        <v>-59675.740836817531</v>
      </c>
      <c r="G225">
        <f t="shared" si="22"/>
        <v>7408.3520004882957</v>
      </c>
      <c r="H225">
        <f t="shared" si="23"/>
        <v>10637.632679219945</v>
      </c>
      <c r="I225">
        <f t="shared" si="24"/>
        <v>27414.664143803213</v>
      </c>
      <c r="J225">
        <f t="shared" si="25"/>
        <v>14934.880214850305</v>
      </c>
      <c r="K225">
        <f t="shared" si="26"/>
        <v>26813.860286263618</v>
      </c>
      <c r="L225" s="42">
        <f t="shared" si="27"/>
        <v>-12143.287122652022</v>
      </c>
    </row>
    <row r="226" spans="2:12">
      <c r="B226" s="42">
        <v>0.16127506332590716</v>
      </c>
      <c r="C226" s="42">
        <v>58340.403454695275</v>
      </c>
      <c r="D226" s="42">
        <v>503.54167302468949</v>
      </c>
      <c r="E226" s="42">
        <v>337.88842432935576</v>
      </c>
      <c r="F226">
        <f t="shared" si="21"/>
        <v>-58340.403454695275</v>
      </c>
      <c r="G226">
        <f t="shared" si="22"/>
        <v>9880.3848384044923</v>
      </c>
      <c r="H226">
        <f t="shared" si="23"/>
        <v>13856.062807092501</v>
      </c>
      <c r="I226">
        <f t="shared" si="24"/>
        <v>31427.365947447128</v>
      </c>
      <c r="J226">
        <f t="shared" si="25"/>
        <v>17433.509933774836</v>
      </c>
      <c r="K226">
        <f t="shared" si="26"/>
        <v>28846.808069093906</v>
      </c>
      <c r="L226" s="42">
        <f t="shared" si="27"/>
        <v>3755.7242799369596</v>
      </c>
    </row>
    <row r="227" spans="2:12">
      <c r="B227" s="42">
        <v>0.10855128635517441</v>
      </c>
      <c r="C227" s="42">
        <v>55104.220709860529</v>
      </c>
      <c r="D227" s="42">
        <v>540.95736564226206</v>
      </c>
      <c r="E227" s="42">
        <v>348.86745811334572</v>
      </c>
      <c r="F227">
        <f t="shared" si="21"/>
        <v>-55104.220709860529</v>
      </c>
      <c r="G227">
        <f t="shared" si="22"/>
        <v>11658.576311532946</v>
      </c>
      <c r="H227">
        <f t="shared" si="23"/>
        <v>16268.734092226945</v>
      </c>
      <c r="I227">
        <f t="shared" si="24"/>
        <v>35484.74074526201</v>
      </c>
      <c r="J227">
        <f t="shared" si="25"/>
        <v>19772.93679616688</v>
      </c>
      <c r="K227">
        <f t="shared" si="26"/>
        <v>31436.730857264934</v>
      </c>
      <c r="L227" s="42">
        <f t="shared" si="27"/>
        <v>26570.983845422114</v>
      </c>
    </row>
    <row r="228" spans="2:12">
      <c r="B228" s="42">
        <v>0.1761009552293466</v>
      </c>
      <c r="C228" s="42">
        <v>57688.528092287976</v>
      </c>
      <c r="D228" s="42">
        <v>518.04101687673574</v>
      </c>
      <c r="E228" s="42">
        <v>367.41203039643545</v>
      </c>
      <c r="F228">
        <f t="shared" si="21"/>
        <v>-57688.528092287976</v>
      </c>
      <c r="G228">
        <f t="shared" si="22"/>
        <v>8547.949766533402</v>
      </c>
      <c r="H228">
        <f t="shared" si="23"/>
        <v>12163.045442060607</v>
      </c>
      <c r="I228">
        <f t="shared" si="24"/>
        <v>29765.24857325968</v>
      </c>
      <c r="J228">
        <f t="shared" si="25"/>
        <v>16318.565019684436</v>
      </c>
      <c r="K228">
        <f t="shared" si="26"/>
        <v>28233.239539780876</v>
      </c>
      <c r="L228" s="42">
        <f t="shared" si="27"/>
        <v>-2254.2951536103465</v>
      </c>
    </row>
    <row r="229" spans="2:12">
      <c r="B229" s="42">
        <v>0.15972167119357891</v>
      </c>
      <c r="C229" s="42">
        <v>55417.188024536881</v>
      </c>
      <c r="D229" s="42">
        <v>516.20990630817596</v>
      </c>
      <c r="E229" s="42">
        <v>320.89266640217289</v>
      </c>
      <c r="F229">
        <f t="shared" si="21"/>
        <v>-55417.188024536881</v>
      </c>
      <c r="G229">
        <f t="shared" si="22"/>
        <v>12139.49003570666</v>
      </c>
      <c r="H229">
        <f t="shared" si="23"/>
        <v>16827.103793450733</v>
      </c>
      <c r="I229">
        <f t="shared" si="24"/>
        <v>35452.385021515562</v>
      </c>
      <c r="J229">
        <f t="shared" si="25"/>
        <v>19882.6386303293</v>
      </c>
      <c r="K229">
        <f t="shared" si="26"/>
        <v>31049.341105380419</v>
      </c>
      <c r="L229" s="42">
        <f t="shared" si="27"/>
        <v>16083.175992103583</v>
      </c>
    </row>
    <row r="230" spans="2:12">
      <c r="B230" s="42">
        <v>0.15685903500473039</v>
      </c>
      <c r="C230" s="42">
        <v>56946.16534928434</v>
      </c>
      <c r="D230" s="42">
        <v>491.19998779259623</v>
      </c>
      <c r="E230" s="42">
        <v>367.45475630970185</v>
      </c>
      <c r="F230">
        <f t="shared" si="21"/>
        <v>-56946.16534928434</v>
      </c>
      <c r="G230">
        <f t="shared" si="22"/>
        <v>6638.8186284981848</v>
      </c>
      <c r="H230">
        <f t="shared" si="23"/>
        <v>9608.7041840876482</v>
      </c>
      <c r="I230">
        <f t="shared" si="24"/>
        <v>25840.989410077214</v>
      </c>
      <c r="J230">
        <f t="shared" si="25"/>
        <v>14006.818445387127</v>
      </c>
      <c r="K230">
        <f t="shared" si="26"/>
        <v>25868.494521927547</v>
      </c>
      <c r="L230" s="42">
        <f t="shared" si="27"/>
        <v>-7032.7711906049753</v>
      </c>
    </row>
    <row r="231" spans="2:12">
      <c r="B231" s="42">
        <v>0.15108188116092411</v>
      </c>
      <c r="C231" s="42">
        <v>59080.477309488204</v>
      </c>
      <c r="D231" s="42">
        <v>534.46302682576982</v>
      </c>
      <c r="E231" s="42">
        <v>328.69930112613298</v>
      </c>
      <c r="F231">
        <f t="shared" si="21"/>
        <v>-59080.477309488204</v>
      </c>
      <c r="G231">
        <f t="shared" si="22"/>
        <v>12810.930814539024</v>
      </c>
      <c r="H231">
        <f t="shared" si="23"/>
        <v>17749.260231330303</v>
      </c>
      <c r="I231">
        <f t="shared" si="24"/>
        <v>37118.091372417373</v>
      </c>
      <c r="J231">
        <f t="shared" si="25"/>
        <v>20827.876216925571</v>
      </c>
      <c r="K231">
        <f t="shared" si="26"/>
        <v>32155.991088595234</v>
      </c>
      <c r="L231" s="42">
        <f t="shared" si="27"/>
        <v>17557.683489547162</v>
      </c>
    </row>
    <row r="232" spans="2:12">
      <c r="B232" s="42">
        <v>0.17258522293771172</v>
      </c>
      <c r="C232" s="42">
        <v>59456.160161137734</v>
      </c>
      <c r="D232" s="42">
        <v>519.84466078676712</v>
      </c>
      <c r="E232" s="42">
        <v>351.33640552995394</v>
      </c>
      <c r="F232">
        <f t="shared" si="21"/>
        <v>-59456.160161137734</v>
      </c>
      <c r="G232">
        <f t="shared" si="22"/>
        <v>9962.0584734641488</v>
      </c>
      <c r="H232">
        <f t="shared" si="23"/>
        <v>14006.256599627668</v>
      </c>
      <c r="I232">
        <f t="shared" si="24"/>
        <v>32086.260567033896</v>
      </c>
      <c r="J232">
        <f t="shared" si="25"/>
        <v>17759.728385265655</v>
      </c>
      <c r="K232">
        <f t="shared" si="26"/>
        <v>29420.800195318458</v>
      </c>
      <c r="L232" s="42">
        <f t="shared" si="27"/>
        <v>1793.8967327405317</v>
      </c>
    </row>
    <row r="233" spans="2:12">
      <c r="B233" s="42">
        <v>0.16231269264809109</v>
      </c>
      <c r="C233" s="42">
        <v>55558.183538315985</v>
      </c>
      <c r="D233" s="42">
        <v>508.58027893917659</v>
      </c>
      <c r="E233" s="42">
        <v>361.83477278969696</v>
      </c>
      <c r="F233">
        <f t="shared" si="21"/>
        <v>-55558.183538315985</v>
      </c>
      <c r="G233">
        <f t="shared" si="22"/>
        <v>8322.4179815057832</v>
      </c>
      <c r="H233">
        <f t="shared" si="23"/>
        <v>11844.310129093294</v>
      </c>
      <c r="I233">
        <f t="shared" si="24"/>
        <v>29097.869808038573</v>
      </c>
      <c r="J233">
        <f t="shared" si="25"/>
        <v>15951.122165593431</v>
      </c>
      <c r="K233">
        <f t="shared" si="26"/>
        <v>27757.639088106935</v>
      </c>
      <c r="L233" s="42">
        <f t="shared" si="27"/>
        <v>724.5885011214159</v>
      </c>
    </row>
    <row r="234" spans="2:12">
      <c r="B234" s="42">
        <v>0.18018127994628744</v>
      </c>
      <c r="C234" s="42">
        <v>59819.483016449478</v>
      </c>
      <c r="D234" s="42">
        <v>486.56727805413982</v>
      </c>
      <c r="E234" s="42">
        <v>327.51823480941192</v>
      </c>
      <c r="F234">
        <f t="shared" si="21"/>
        <v>-59819.483016449478</v>
      </c>
      <c r="G234">
        <f t="shared" si="22"/>
        <v>9504.8179570909742</v>
      </c>
      <c r="H234">
        <f t="shared" si="23"/>
        <v>13321.994994964443</v>
      </c>
      <c r="I234">
        <f t="shared" si="24"/>
        <v>30276.488540299688</v>
      </c>
      <c r="J234">
        <f t="shared" si="25"/>
        <v>16803.327127903071</v>
      </c>
      <c r="K234">
        <f t="shared" si="26"/>
        <v>28016.75344096194</v>
      </c>
      <c r="L234" s="42">
        <f t="shared" si="27"/>
        <v>-2883.7400439527264</v>
      </c>
    </row>
    <row r="235" spans="2:12">
      <c r="B235" s="42">
        <v>0.16617023224585711</v>
      </c>
      <c r="C235" s="42">
        <v>56030.457472457048</v>
      </c>
      <c r="D235" s="42">
        <v>533.44065675832394</v>
      </c>
      <c r="E235" s="42">
        <v>366.73604541154208</v>
      </c>
      <c r="F235">
        <f t="shared" si="21"/>
        <v>-56030.457472457048</v>
      </c>
      <c r="G235">
        <f t="shared" si="22"/>
        <v>9695.4029969176354</v>
      </c>
      <c r="H235">
        <f t="shared" si="23"/>
        <v>13696.3136692404</v>
      </c>
      <c r="I235">
        <f t="shared" si="24"/>
        <v>32100.122074037907</v>
      </c>
      <c r="J235">
        <f t="shared" si="25"/>
        <v>17697.012848292492</v>
      </c>
      <c r="K235">
        <f t="shared" si="26"/>
        <v>29631.670888393812</v>
      </c>
      <c r="L235" s="42">
        <f t="shared" si="27"/>
        <v>5902.4799181159069</v>
      </c>
    </row>
    <row r="236" spans="2:12">
      <c r="B236" s="42">
        <v>0.13722647785882139</v>
      </c>
      <c r="C236" s="42">
        <v>56588.793603320417</v>
      </c>
      <c r="D236" s="42">
        <v>460.03753776665548</v>
      </c>
      <c r="E236" s="42">
        <v>331.86101870784631</v>
      </c>
      <c r="F236">
        <f t="shared" si="21"/>
        <v>-56588.793603320417</v>
      </c>
      <c r="G236">
        <f t="shared" si="22"/>
        <v>7273.7836848048319</v>
      </c>
      <c r="H236">
        <f t="shared" si="23"/>
        <v>10350.020142216254</v>
      </c>
      <c r="I236">
        <f t="shared" si="24"/>
        <v>25847.270119327368</v>
      </c>
      <c r="J236">
        <f t="shared" si="25"/>
        <v>14174.346751304665</v>
      </c>
      <c r="K236">
        <f t="shared" si="26"/>
        <v>25404.198126163516</v>
      </c>
      <c r="L236" s="42">
        <f t="shared" si="27"/>
        <v>-2785.3488968568054</v>
      </c>
    </row>
    <row r="237" spans="2:12">
      <c r="B237" s="42">
        <v>0.14356517227698601</v>
      </c>
      <c r="C237" s="42">
        <v>58883.480330820639</v>
      </c>
      <c r="D237" s="42">
        <v>499.46134830774866</v>
      </c>
      <c r="E237" s="42">
        <v>338.42249824518569</v>
      </c>
      <c r="F237">
        <f t="shared" si="21"/>
        <v>-58883.480330820639</v>
      </c>
      <c r="G237">
        <f t="shared" si="22"/>
        <v>9547.9558702352988</v>
      </c>
      <c r="H237">
        <f t="shared" si="23"/>
        <v>13412.888271736816</v>
      </c>
      <c r="I237">
        <f t="shared" si="24"/>
        <v>30763.277077547536</v>
      </c>
      <c r="J237">
        <f t="shared" si="25"/>
        <v>17039.87609485153</v>
      </c>
      <c r="K237">
        <f t="shared" si="26"/>
        <v>28453.55876339</v>
      </c>
      <c r="L237" s="42">
        <f t="shared" si="27"/>
        <v>4805.7847601018348</v>
      </c>
    </row>
    <row r="238" spans="2:12">
      <c r="B238" s="42">
        <v>0.19623706778160957</v>
      </c>
      <c r="C238" s="42">
        <v>57940.916165654467</v>
      </c>
      <c r="D238" s="42">
        <v>510.97903378398996</v>
      </c>
      <c r="E238" s="42">
        <v>337.11630603961305</v>
      </c>
      <c r="F238">
        <f t="shared" si="21"/>
        <v>-57940.916165654467</v>
      </c>
      <c r="G238">
        <f t="shared" si="22"/>
        <v>10470.206915494244</v>
      </c>
      <c r="H238">
        <f t="shared" si="23"/>
        <v>14642.912381359289</v>
      </c>
      <c r="I238">
        <f t="shared" si="24"/>
        <v>32612.051759392067</v>
      </c>
      <c r="J238">
        <f t="shared" si="25"/>
        <v>18134.892422254092</v>
      </c>
      <c r="K238">
        <f t="shared" si="26"/>
        <v>29550.711386455881</v>
      </c>
      <c r="L238" s="42">
        <f t="shared" si="27"/>
        <v>1015.7444994802609</v>
      </c>
    </row>
    <row r="239" spans="2:12">
      <c r="B239" s="42">
        <v>0.18249458296456803</v>
      </c>
      <c r="C239" s="42">
        <v>57007.965330973238</v>
      </c>
      <c r="D239" s="42">
        <v>474.7322000793481</v>
      </c>
      <c r="E239" s="42">
        <v>338.31873531296731</v>
      </c>
      <c r="F239">
        <f t="shared" si="21"/>
        <v>-57007.965330973238</v>
      </c>
      <c r="G239">
        <f t="shared" si="22"/>
        <v>7800.4873805963343</v>
      </c>
      <c r="H239">
        <f t="shared" si="23"/>
        <v>11074.410534989467</v>
      </c>
      <c r="I239">
        <f t="shared" si="24"/>
        <v>27166.103091525008</v>
      </c>
      <c r="J239">
        <f t="shared" si="25"/>
        <v>14921.470381786554</v>
      </c>
      <c r="K239">
        <f t="shared" si="26"/>
        <v>26284.034546952724</v>
      </c>
      <c r="L239" s="42">
        <f t="shared" si="27"/>
        <v>-7061.7646859443576</v>
      </c>
    </row>
    <row r="240" spans="2:12">
      <c r="B240" s="42">
        <v>0.16293832209234901</v>
      </c>
      <c r="C240" s="42">
        <v>58607.898190252388</v>
      </c>
      <c r="D240" s="42">
        <v>475.60502945036166</v>
      </c>
      <c r="E240" s="42">
        <v>360.60640278328805</v>
      </c>
      <c r="F240">
        <f t="shared" si="21"/>
        <v>-58607.898190252388</v>
      </c>
      <c r="G240">
        <f t="shared" si="22"/>
        <v>6079.4448683126348</v>
      </c>
      <c r="H240">
        <f t="shared" si="23"/>
        <v>8839.4119083223995</v>
      </c>
      <c r="I240">
        <f t="shared" si="24"/>
        <v>24440.714743491932</v>
      </c>
      <c r="J240">
        <f t="shared" si="25"/>
        <v>13213.520310068059</v>
      </c>
      <c r="K240">
        <f t="shared" si="26"/>
        <v>24934.432813501393</v>
      </c>
      <c r="L240" s="42">
        <f t="shared" si="27"/>
        <v>-12357.904212422671</v>
      </c>
    </row>
    <row r="241" spans="2:12">
      <c r="B241" s="42">
        <v>0.13787652211066012</v>
      </c>
      <c r="C241" s="42">
        <v>56434.827723014008</v>
      </c>
      <c r="D241" s="42">
        <v>485.38315988647116</v>
      </c>
      <c r="E241" s="42">
        <v>337.81212805566577</v>
      </c>
      <c r="F241">
        <f t="shared" si="21"/>
        <v>-56434.827723014008</v>
      </c>
      <c r="G241">
        <f t="shared" si="22"/>
        <v>8597.2341074861924</v>
      </c>
      <c r="H241">
        <f t="shared" si="23"/>
        <v>12138.938871425522</v>
      </c>
      <c r="I241">
        <f t="shared" si="24"/>
        <v>28785.988952299573</v>
      </c>
      <c r="J241">
        <f t="shared" si="25"/>
        <v>15877.981505783258</v>
      </c>
      <c r="K241">
        <f t="shared" si="26"/>
        <v>27253.741874446852</v>
      </c>
      <c r="L241" s="42">
        <f t="shared" si="27"/>
        <v>3793.5187844358097</v>
      </c>
    </row>
    <row r="242" spans="2:12">
      <c r="B242" s="42">
        <v>0.11243934446241646</v>
      </c>
      <c r="C242" s="42">
        <v>58849.757377849666</v>
      </c>
      <c r="D242" s="42">
        <v>502.40638447218237</v>
      </c>
      <c r="E242" s="42">
        <v>333.72722556230354</v>
      </c>
      <c r="F242">
        <f t="shared" si="21"/>
        <v>-58849.757377849666</v>
      </c>
      <c r="G242">
        <f t="shared" si="22"/>
        <v>10132.675252540666</v>
      </c>
      <c r="H242">
        <f t="shared" si="23"/>
        <v>14180.97506637776</v>
      </c>
      <c r="I242">
        <f t="shared" si="24"/>
        <v>31794.24726096377</v>
      </c>
      <c r="J242">
        <f t="shared" si="25"/>
        <v>17668.771019623404</v>
      </c>
      <c r="K242">
        <f t="shared" si="26"/>
        <v>29013.219397564622</v>
      </c>
      <c r="L242" s="42">
        <f t="shared" si="27"/>
        <v>13380.219525270824</v>
      </c>
    </row>
    <row r="243" spans="2:12">
      <c r="B243" s="42">
        <v>0.19602954191717278</v>
      </c>
      <c r="C243" s="42">
        <v>58340.556047242651</v>
      </c>
      <c r="D243" s="42">
        <v>511.63212988677634</v>
      </c>
      <c r="E243" s="42">
        <v>359.16135135959962</v>
      </c>
      <c r="F243">
        <f t="shared" si="21"/>
        <v>-58340.556047242651</v>
      </c>
      <c r="G243">
        <f t="shared" si="22"/>
        <v>8752.9731131931512</v>
      </c>
      <c r="H243">
        <f t="shared" si="23"/>
        <v>12412.271797845391</v>
      </c>
      <c r="I243">
        <f t="shared" si="24"/>
        <v>29885.637989440595</v>
      </c>
      <c r="J243">
        <f t="shared" si="25"/>
        <v>16427.455061494795</v>
      </c>
      <c r="K243">
        <f t="shared" si="26"/>
        <v>28197.300943021939</v>
      </c>
      <c r="L243" s="42">
        <f t="shared" si="27"/>
        <v>-5328.3756307109143</v>
      </c>
    </row>
    <row r="244" spans="2:12">
      <c r="B244" s="42">
        <v>0.15717337565233314</v>
      </c>
      <c r="C244" s="42">
        <v>58750.572222052673</v>
      </c>
      <c r="D244" s="42">
        <v>454.97146519363992</v>
      </c>
      <c r="E244" s="42">
        <v>330.99429303872796</v>
      </c>
      <c r="F244">
        <f t="shared" si="21"/>
        <v>-58750.572222052673</v>
      </c>
      <c r="G244">
        <f t="shared" si="22"/>
        <v>6983.430585650196</v>
      </c>
      <c r="H244">
        <f t="shared" si="23"/>
        <v>9958.8827173680838</v>
      </c>
      <c r="I244">
        <f t="shared" si="24"/>
        <v>25218.564409314251</v>
      </c>
      <c r="J244">
        <f t="shared" si="25"/>
        <v>13808.002563554794</v>
      </c>
      <c r="K244">
        <f t="shared" si="26"/>
        <v>25013.854182561721</v>
      </c>
      <c r="L244" s="42">
        <f t="shared" si="27"/>
        <v>-9246.8298938649805</v>
      </c>
    </row>
    <row r="245" spans="2:12">
      <c r="B245" s="42">
        <v>0.18680379650257883</v>
      </c>
      <c r="C245" s="42">
        <v>58951.994384594254</v>
      </c>
      <c r="D245" s="42">
        <v>506.19067964720603</v>
      </c>
      <c r="E245" s="42">
        <v>333.08328501236002</v>
      </c>
      <c r="F245">
        <f t="shared" si="21"/>
        <v>-58951.994384594254</v>
      </c>
      <c r="G245">
        <f t="shared" si="22"/>
        <v>10452.875453962828</v>
      </c>
      <c r="H245">
        <f t="shared" si="23"/>
        <v>14607.45292519913</v>
      </c>
      <c r="I245">
        <f t="shared" si="24"/>
        <v>32429.178746909995</v>
      </c>
      <c r="J245">
        <f t="shared" si="25"/>
        <v>18045.735648670918</v>
      </c>
      <c r="K245">
        <f t="shared" si="26"/>
        <v>29387.449568163087</v>
      </c>
      <c r="L245" s="42">
        <f t="shared" si="27"/>
        <v>1204.0714488811554</v>
      </c>
    </row>
    <row r="246" spans="2:12">
      <c r="B246" s="42">
        <v>0.16237983336893827</v>
      </c>
      <c r="C246" s="42">
        <v>58615.680410168767</v>
      </c>
      <c r="D246" s="42">
        <v>475.95599230933561</v>
      </c>
      <c r="E246" s="42">
        <v>363.07992797631766</v>
      </c>
      <c r="F246">
        <f t="shared" ref="F246:F309" si="28">-C246</f>
        <v>-58615.680410168767</v>
      </c>
      <c r="G246">
        <f t="shared" ref="G246:G309" si="29">((D246-E246)*$E$14-$E$18-$E$20)*(1-0.2)+$E$20-0.3*($F$14*D246-$E$14*D246)</f>
        <v>5906.481215857415</v>
      </c>
      <c r="H246">
        <f t="shared" ref="H246:H309" si="30">($F$14*(D246-E246)-$F$18-$F$20)*0.8+$F$20-0.3*($G$14*D246-$F$14*D246)</f>
        <v>8615.5067598498499</v>
      </c>
      <c r="I246">
        <f t="shared" ref="I246:I309" si="31">($G$14*(D246-E246)-$G$18-$G$20)*0.8+$H$20-0.3*($H$14*D246-$G$14*D246)</f>
        <v>24175.344096194334</v>
      </c>
      <c r="J246">
        <f t="shared" ref="J246:J309" si="32">($H$14*(D246-E246)-$H$18-$H$20)*0.8+$H$20-0.3*($I$14*D246-$H$14*D246)</f>
        <v>13045.821100497451</v>
      </c>
      <c r="K246">
        <f t="shared" ref="K246:K309" si="33">($I$14*(D246-E246)-$I$18-$I$20)*0.8+$I$20+$I$14*D246*0.3+$I$31</f>
        <v>24807.011932737201</v>
      </c>
      <c r="L246" s="42">
        <f t="shared" ref="L246:L309" si="34">F246+G246/(1+B246)^1+H246/(1+B246)^2+I246/(1+B246)^3+J246/(1+B246)^4+K246/(1+B246)^5</f>
        <v>-12927.799265557653</v>
      </c>
    </row>
    <row r="247" spans="2:12">
      <c r="B247" s="42">
        <v>0.18127079073458052</v>
      </c>
      <c r="C247" s="42">
        <v>59383.983886226997</v>
      </c>
      <c r="D247" s="42">
        <v>544.98275704214609</v>
      </c>
      <c r="E247" s="42">
        <v>322.18054750205999</v>
      </c>
      <c r="F247">
        <f t="shared" si="28"/>
        <v>-59383.983886226997</v>
      </c>
      <c r="G247">
        <f t="shared" si="29"/>
        <v>14079.331949827574</v>
      </c>
      <c r="H247">
        <f t="shared" si="30"/>
        <v>19426.58497878964</v>
      </c>
      <c r="I247">
        <f t="shared" si="31"/>
        <v>39488.372447889647</v>
      </c>
      <c r="J247">
        <f t="shared" si="32"/>
        <v>22254.073305459766</v>
      </c>
      <c r="K247">
        <f t="shared" si="33"/>
        <v>33498.927579577015</v>
      </c>
      <c r="L247" s="42">
        <f t="shared" si="34"/>
        <v>16406.234068919599</v>
      </c>
    </row>
    <row r="248" spans="2:12">
      <c r="B248" s="42">
        <v>0.1206946012756737</v>
      </c>
      <c r="C248" s="42">
        <v>58756.065553758352</v>
      </c>
      <c r="D248" s="42">
        <v>507.17337565233316</v>
      </c>
      <c r="E248" s="42">
        <v>348.95596179082611</v>
      </c>
      <c r="F248">
        <f t="shared" si="28"/>
        <v>-58756.065553758352</v>
      </c>
      <c r="G248">
        <f t="shared" si="29"/>
        <v>9252.8327280495669</v>
      </c>
      <c r="H248">
        <f t="shared" si="30"/>
        <v>13050.050660725736</v>
      </c>
      <c r="I248">
        <f t="shared" si="31"/>
        <v>30540.9497360149</v>
      </c>
      <c r="J248">
        <f t="shared" si="32"/>
        <v>16860.433362834563</v>
      </c>
      <c r="K248">
        <f t="shared" si="33"/>
        <v>28458.075502792446</v>
      </c>
      <c r="L248" s="42">
        <f t="shared" si="34"/>
        <v>8375.3165893760706</v>
      </c>
    </row>
    <row r="249" spans="2:12">
      <c r="B249" s="42">
        <v>0.16524552140873441</v>
      </c>
      <c r="C249" s="42">
        <v>59938.657795953244</v>
      </c>
      <c r="D249" s="42">
        <v>450.06408886989959</v>
      </c>
      <c r="E249" s="42">
        <v>327.36259041108434</v>
      </c>
      <c r="F249">
        <f t="shared" si="28"/>
        <v>-59938.657795953244</v>
      </c>
      <c r="G249">
        <f t="shared" si="29"/>
        <v>6925.5430768761253</v>
      </c>
      <c r="H249">
        <f t="shared" si="30"/>
        <v>9870.3790398876899</v>
      </c>
      <c r="I249">
        <f t="shared" si="31"/>
        <v>24966.945402386544</v>
      </c>
      <c r="J249">
        <f t="shared" si="32"/>
        <v>13676.504409924619</v>
      </c>
      <c r="K249">
        <f t="shared" si="33"/>
        <v>24814.434034241764</v>
      </c>
      <c r="L249" s="42">
        <f t="shared" si="34"/>
        <v>-11976.358946698672</v>
      </c>
    </row>
    <row r="250" spans="2:12">
      <c r="B250" s="42">
        <v>0.13974425489059114</v>
      </c>
      <c r="C250" s="42">
        <v>59437.238685262615</v>
      </c>
      <c r="D250" s="42">
        <v>471.21951963866087</v>
      </c>
      <c r="E250" s="42">
        <v>328.03094576860866</v>
      </c>
      <c r="F250">
        <f t="shared" si="28"/>
        <v>-59437.238685262615</v>
      </c>
      <c r="G250">
        <f t="shared" si="29"/>
        <v>8374.1102328562301</v>
      </c>
      <c r="H250">
        <f t="shared" si="30"/>
        <v>11810.636005737484</v>
      </c>
      <c r="I250">
        <f t="shared" si="31"/>
        <v>27970.08880886258</v>
      </c>
      <c r="J250">
        <f t="shared" si="32"/>
        <v>15442.403027436141</v>
      </c>
      <c r="K250">
        <f t="shared" si="33"/>
        <v>26633.337199011199</v>
      </c>
      <c r="L250" s="42">
        <f t="shared" si="34"/>
        <v>-1106.7766054082749</v>
      </c>
    </row>
    <row r="251" spans="2:12">
      <c r="B251" s="42">
        <v>0.15191198461867123</v>
      </c>
      <c r="C251" s="42">
        <v>55900.143436994535</v>
      </c>
      <c r="D251" s="42">
        <v>493.5621204260384</v>
      </c>
      <c r="E251" s="42">
        <v>357.11050752281261</v>
      </c>
      <c r="F251">
        <f t="shared" si="28"/>
        <v>-55900.143436994535</v>
      </c>
      <c r="G251">
        <f t="shared" si="29"/>
        <v>7634.0699484237184</v>
      </c>
      <c r="H251">
        <f t="shared" si="30"/>
        <v>10908.90865810114</v>
      </c>
      <c r="I251">
        <f t="shared" si="31"/>
        <v>27509.924619281592</v>
      </c>
      <c r="J251">
        <f t="shared" si="32"/>
        <v>15037.501754814295</v>
      </c>
      <c r="K251">
        <f t="shared" si="33"/>
        <v>26738.39411603137</v>
      </c>
      <c r="L251" s="42">
        <f t="shared" si="34"/>
        <v>-1328.6520020276894</v>
      </c>
    </row>
    <row r="252" spans="2:12">
      <c r="B252" s="42">
        <v>0.17811212500381482</v>
      </c>
      <c r="C252" s="42">
        <v>59275.490585039828</v>
      </c>
      <c r="D252" s="42">
        <v>513.22214423047581</v>
      </c>
      <c r="E252" s="42">
        <v>335.3843806268502</v>
      </c>
      <c r="F252">
        <f t="shared" si="28"/>
        <v>-59275.490585039828</v>
      </c>
      <c r="G252">
        <f t="shared" si="29"/>
        <v>10768.021790215767</v>
      </c>
      <c r="H252">
        <f t="shared" si="30"/>
        <v>15036.128116702781</v>
      </c>
      <c r="I252">
        <f t="shared" si="31"/>
        <v>33161.232337412643</v>
      </c>
      <c r="J252">
        <f t="shared" si="32"/>
        <v>18466.353953672904</v>
      </c>
      <c r="K252">
        <f t="shared" si="33"/>
        <v>29858.948332163458</v>
      </c>
      <c r="L252" s="42">
        <f t="shared" si="34"/>
        <v>3720.5262281370597</v>
      </c>
    </row>
    <row r="253" spans="2:12">
      <c r="B253" s="42">
        <v>0.1523697622608112</v>
      </c>
      <c r="C253" s="42">
        <v>59354.075746940522</v>
      </c>
      <c r="D253" s="42">
        <v>511.90984832300791</v>
      </c>
      <c r="E253" s="42">
        <v>352.72499771111177</v>
      </c>
      <c r="F253">
        <f t="shared" si="28"/>
        <v>-59354.075746940522</v>
      </c>
      <c r="G253">
        <f t="shared" si="29"/>
        <v>9287.5994140446201</v>
      </c>
      <c r="H253">
        <f t="shared" si="30"/>
        <v>13108.035828730128</v>
      </c>
      <c r="I253">
        <f t="shared" si="31"/>
        <v>30750.038148136846</v>
      </c>
      <c r="J253">
        <f t="shared" si="32"/>
        <v>16966.247138889739</v>
      </c>
      <c r="K253">
        <f t="shared" si="33"/>
        <v>28633.666798913542</v>
      </c>
      <c r="L253" s="42">
        <f t="shared" si="34"/>
        <v>2381.6728748845017</v>
      </c>
    </row>
    <row r="254" spans="2:12">
      <c r="B254" s="42">
        <v>0.19811395611438337</v>
      </c>
      <c r="C254" s="42">
        <v>57863.856929227579</v>
      </c>
      <c r="D254" s="42">
        <v>539.6877956480605</v>
      </c>
      <c r="E254" s="42">
        <v>323.09762871181374</v>
      </c>
      <c r="F254">
        <f t="shared" si="28"/>
        <v>-57863.856929227579</v>
      </c>
      <c r="G254">
        <f t="shared" si="29"/>
        <v>13630.023194067197</v>
      </c>
      <c r="H254">
        <f t="shared" si="30"/>
        <v>18828.187200537122</v>
      </c>
      <c r="I254">
        <f t="shared" si="31"/>
        <v>38597.92168950467</v>
      </c>
      <c r="J254">
        <f t="shared" si="32"/>
        <v>21725.340128788106</v>
      </c>
      <c r="K254">
        <f t="shared" si="33"/>
        <v>32974.277779473239</v>
      </c>
      <c r="L254" s="42">
        <f t="shared" si="34"/>
        <v>12970.609005197437</v>
      </c>
    </row>
    <row r="255" spans="2:12">
      <c r="B255" s="42">
        <v>0.124024170659505</v>
      </c>
      <c r="C255" s="42">
        <v>59062.776573992123</v>
      </c>
      <c r="D255" s="42">
        <v>544.34492019409777</v>
      </c>
      <c r="E255" s="42">
        <v>333.15805536057621</v>
      </c>
      <c r="F255">
        <f t="shared" si="28"/>
        <v>-59062.776573992123</v>
      </c>
      <c r="G255">
        <f t="shared" si="29"/>
        <v>13155.844904934849</v>
      </c>
      <c r="H255">
        <f t="shared" si="30"/>
        <v>18224.329660939366</v>
      </c>
      <c r="I255">
        <f t="shared" si="31"/>
        <v>37990.12726218452</v>
      </c>
      <c r="J255">
        <f t="shared" si="32"/>
        <v>21321.018707846313</v>
      </c>
      <c r="K255">
        <f t="shared" si="33"/>
        <v>32740.237434003728</v>
      </c>
      <c r="L255" s="42">
        <f t="shared" si="34"/>
        <v>25421.574359480845</v>
      </c>
    </row>
    <row r="256" spans="2:12">
      <c r="B256" s="42">
        <v>0.10077517014069033</v>
      </c>
      <c r="C256" s="42">
        <v>55906.247138889739</v>
      </c>
      <c r="D256" s="42">
        <v>537.84447767571032</v>
      </c>
      <c r="E256" s="42">
        <v>349.37864314706871</v>
      </c>
      <c r="F256">
        <f t="shared" si="28"/>
        <v>-55906.247138889739</v>
      </c>
      <c r="G256">
        <f t="shared" si="29"/>
        <v>11396.666463209935</v>
      </c>
      <c r="H256">
        <f t="shared" si="30"/>
        <v>15919.846491897333</v>
      </c>
      <c r="I256">
        <f t="shared" si="31"/>
        <v>34964.827417828914</v>
      </c>
      <c r="J256">
        <f t="shared" si="32"/>
        <v>19464.33362834559</v>
      </c>
      <c r="K256">
        <f t="shared" si="33"/>
        <v>31130.080874050109</v>
      </c>
      <c r="L256" s="42">
        <f t="shared" si="34"/>
        <v>26317.93217904686</v>
      </c>
    </row>
    <row r="257" spans="2:12">
      <c r="B257" s="42">
        <v>0.12535782952360608</v>
      </c>
      <c r="C257" s="42">
        <v>57930.23468733787</v>
      </c>
      <c r="D257" s="42">
        <v>470.62746055482648</v>
      </c>
      <c r="E257" s="42">
        <v>356.7046113467818</v>
      </c>
      <c r="F257">
        <f t="shared" si="28"/>
        <v>-57930.23468733787</v>
      </c>
      <c r="G257">
        <f t="shared" si="29"/>
        <v>6038.1807916501348</v>
      </c>
      <c r="H257">
        <f t="shared" si="30"/>
        <v>8772.3291726432108</v>
      </c>
      <c r="I257">
        <f t="shared" si="31"/>
        <v>24213.418988616599</v>
      </c>
      <c r="J257">
        <f t="shared" si="32"/>
        <v>13097.592699972533</v>
      </c>
      <c r="K257">
        <f t="shared" si="33"/>
        <v>24746.121402630695</v>
      </c>
      <c r="L257" s="42">
        <f t="shared" si="34"/>
        <v>-6771.3237551473467</v>
      </c>
    </row>
    <row r="258" spans="2:12">
      <c r="B258" s="42">
        <v>0.18215887936033204</v>
      </c>
      <c r="C258" s="42">
        <v>58644.215216528828</v>
      </c>
      <c r="D258" s="42">
        <v>475.33951841792049</v>
      </c>
      <c r="E258" s="42">
        <v>356.19037446211127</v>
      </c>
      <c r="F258">
        <f t="shared" si="28"/>
        <v>-58644.215216528828</v>
      </c>
      <c r="G258">
        <f t="shared" si="29"/>
        <v>6413.8758507034536</v>
      </c>
      <c r="H258">
        <f t="shared" si="30"/>
        <v>9273.4553056428776</v>
      </c>
      <c r="I258">
        <f t="shared" si="31"/>
        <v>24967.201757866147</v>
      </c>
      <c r="J258">
        <f t="shared" si="32"/>
        <v>13543.968626972261</v>
      </c>
      <c r="K258">
        <f t="shared" si="33"/>
        <v>25193.693655201881</v>
      </c>
      <c r="L258" s="42">
        <f t="shared" si="34"/>
        <v>-13623.051876097652</v>
      </c>
    </row>
    <row r="259" spans="2:12">
      <c r="B259" s="42">
        <v>0.184926908169805</v>
      </c>
      <c r="C259" s="42">
        <v>55084.536271248515</v>
      </c>
      <c r="D259" s="42">
        <v>473.24289681691948</v>
      </c>
      <c r="E259" s="42">
        <v>350.05462813196203</v>
      </c>
      <c r="F259">
        <f t="shared" si="28"/>
        <v>-55084.536271248515</v>
      </c>
      <c r="G259">
        <f t="shared" si="29"/>
        <v>6755.8754234443213</v>
      </c>
      <c r="H259">
        <f t="shared" si="30"/>
        <v>9712.3938718832978</v>
      </c>
      <c r="I259">
        <f t="shared" si="31"/>
        <v>25446.470534379107</v>
      </c>
      <c r="J259">
        <f t="shared" si="32"/>
        <v>13854.518875698112</v>
      </c>
      <c r="K259">
        <f t="shared" si="33"/>
        <v>25401.878719443346</v>
      </c>
      <c r="L259" s="42">
        <f t="shared" si="34"/>
        <v>-9268.1380722355552</v>
      </c>
    </row>
    <row r="260" spans="2:12">
      <c r="B260" s="42">
        <v>0.11272927030243844</v>
      </c>
      <c r="C260" s="42">
        <v>55853.60271004364</v>
      </c>
      <c r="D260" s="42">
        <v>529.68993194372388</v>
      </c>
      <c r="E260" s="42">
        <v>346.35273293252357</v>
      </c>
      <c r="F260">
        <f t="shared" si="28"/>
        <v>-55853.60271004364</v>
      </c>
      <c r="G260">
        <f t="shared" si="29"/>
        <v>11059.766533402511</v>
      </c>
      <c r="H260">
        <f t="shared" si="30"/>
        <v>15459.859309671316</v>
      </c>
      <c r="I260">
        <f t="shared" si="31"/>
        <v>34161.580248420672</v>
      </c>
      <c r="J260">
        <f t="shared" si="32"/>
        <v>19005.115512558368</v>
      </c>
      <c r="K260">
        <f t="shared" si="33"/>
        <v>30606.139103366193</v>
      </c>
      <c r="L260" s="42">
        <f t="shared" si="34"/>
        <v>21705.5806657875</v>
      </c>
    </row>
    <row r="261" spans="2:12">
      <c r="B261" s="42">
        <v>0.10414746543778802</v>
      </c>
      <c r="C261" s="42">
        <v>57112.033448286384</v>
      </c>
      <c r="D261" s="42">
        <v>501.02694784386733</v>
      </c>
      <c r="E261" s="42">
        <v>334.20789208655049</v>
      </c>
      <c r="F261">
        <f t="shared" si="28"/>
        <v>-57112.033448286384</v>
      </c>
      <c r="G261">
        <f t="shared" si="29"/>
        <v>9996.2819299905423</v>
      </c>
      <c r="H261">
        <f t="shared" si="30"/>
        <v>13999.939268166148</v>
      </c>
      <c r="I261">
        <f t="shared" si="31"/>
        <v>31531.324198126167</v>
      </c>
      <c r="J261">
        <f t="shared" si="32"/>
        <v>17511.68614764855</v>
      </c>
      <c r="K261">
        <f t="shared" si="33"/>
        <v>28861.066316721095</v>
      </c>
      <c r="L261" s="42">
        <f t="shared" si="34"/>
        <v>16217.213373712859</v>
      </c>
    </row>
    <row r="262" spans="2:12">
      <c r="B262" s="42">
        <v>0.10593585009308146</v>
      </c>
      <c r="C262" s="42">
        <v>59198.278756065556</v>
      </c>
      <c r="D262" s="42">
        <v>541.5097506637776</v>
      </c>
      <c r="E262" s="42">
        <v>334.1148106326487</v>
      </c>
      <c r="F262">
        <f t="shared" si="28"/>
        <v>-59198.278756065556</v>
      </c>
      <c r="G262">
        <f t="shared" si="29"/>
        <v>12878.007446516316</v>
      </c>
      <c r="H262">
        <f t="shared" si="30"/>
        <v>17855.486007263407</v>
      </c>
      <c r="I262">
        <f t="shared" si="31"/>
        <v>37453.727835932499</v>
      </c>
      <c r="J262">
        <f t="shared" si="32"/>
        <v>21000.653706472978</v>
      </c>
      <c r="K262">
        <f t="shared" si="33"/>
        <v>32429.510177922912</v>
      </c>
      <c r="L262" s="42">
        <f t="shared" si="34"/>
        <v>28373.471482293811</v>
      </c>
    </row>
    <row r="263" spans="2:12">
      <c r="B263" s="42">
        <v>0.12082888271736809</v>
      </c>
      <c r="C263" s="42">
        <v>55471.816156498913</v>
      </c>
      <c r="D263" s="42">
        <v>477.03939939573354</v>
      </c>
      <c r="E263" s="42">
        <v>337.79534287545397</v>
      </c>
      <c r="F263">
        <f t="shared" si="28"/>
        <v>-55471.816156498913</v>
      </c>
      <c r="G263">
        <f t="shared" si="29"/>
        <v>8006.169927060766</v>
      </c>
      <c r="H263">
        <f t="shared" si="30"/>
        <v>11348.027283547472</v>
      </c>
      <c r="I263">
        <f t="shared" si="31"/>
        <v>27569.94842371899</v>
      </c>
      <c r="J263">
        <f t="shared" si="32"/>
        <v>15161.760917996768</v>
      </c>
      <c r="K263">
        <f t="shared" si="33"/>
        <v>26520.5652027955</v>
      </c>
      <c r="L263" s="42">
        <f t="shared" si="34"/>
        <v>4884.7270896580321</v>
      </c>
    </row>
    <row r="264" spans="2:12">
      <c r="B264" s="42">
        <v>0.12022766808069095</v>
      </c>
      <c r="C264" s="42">
        <v>55214.392529068879</v>
      </c>
      <c r="D264" s="42">
        <v>488.14203314310129</v>
      </c>
      <c r="E264" s="42">
        <v>360.08148442030091</v>
      </c>
      <c r="F264">
        <f t="shared" si="28"/>
        <v>-55214.392529068879</v>
      </c>
      <c r="G264">
        <f t="shared" si="29"/>
        <v>7011.5655995361194</v>
      </c>
      <c r="H264">
        <f t="shared" si="30"/>
        <v>10085.018768883328</v>
      </c>
      <c r="I264">
        <f t="shared" si="31"/>
        <v>26338.30683309427</v>
      </c>
      <c r="J264">
        <f t="shared" si="32"/>
        <v>14333.696096682639</v>
      </c>
      <c r="K264">
        <f t="shared" si="33"/>
        <v>26071.283913693653</v>
      </c>
      <c r="L264" s="42">
        <f t="shared" si="34"/>
        <v>1697.2080141422211</v>
      </c>
    </row>
    <row r="265" spans="2:12">
      <c r="B265" s="42">
        <v>0.12528763695181128</v>
      </c>
      <c r="C265" s="42">
        <v>59624.622333445237</v>
      </c>
      <c r="D265" s="42">
        <v>485.8775597399823</v>
      </c>
      <c r="E265" s="42">
        <v>337.65495773186439</v>
      </c>
      <c r="F265">
        <f t="shared" si="28"/>
        <v>-59624.622333445237</v>
      </c>
      <c r="G265">
        <f t="shared" si="29"/>
        <v>8644.9101229895932</v>
      </c>
      <c r="H265">
        <f t="shared" si="30"/>
        <v>12202.252571184425</v>
      </c>
      <c r="I265">
        <f t="shared" si="31"/>
        <v>28878.289132358776</v>
      </c>
      <c r="J265">
        <f t="shared" si="32"/>
        <v>15933.073519089328</v>
      </c>
      <c r="K265">
        <f t="shared" si="33"/>
        <v>27307.307962279119</v>
      </c>
      <c r="L265" s="42">
        <f t="shared" si="34"/>
        <v>3031.7637543836718</v>
      </c>
    </row>
    <row r="266" spans="2:12">
      <c r="B266" s="42">
        <v>0.14385509811700797</v>
      </c>
      <c r="C266" s="42">
        <v>59715.109714041566</v>
      </c>
      <c r="D266" s="42">
        <v>497.16025269325849</v>
      </c>
      <c r="E266" s="42">
        <v>363.41410565507982</v>
      </c>
      <c r="F266">
        <f t="shared" si="28"/>
        <v>-59715.109714041566</v>
      </c>
      <c r="G266">
        <f t="shared" si="29"/>
        <v>7385.2494888149668</v>
      </c>
      <c r="H266">
        <f t="shared" si="30"/>
        <v>10595.157017731257</v>
      </c>
      <c r="I266">
        <f t="shared" si="31"/>
        <v>27228.391369365519</v>
      </c>
      <c r="J266">
        <f t="shared" si="32"/>
        <v>14842.653279213844</v>
      </c>
      <c r="K266">
        <f t="shared" si="33"/>
        <v>26651.599475081639</v>
      </c>
      <c r="L266" s="42">
        <f t="shared" si="34"/>
        <v>-4687.2076801122148</v>
      </c>
    </row>
    <row r="267" spans="2:12">
      <c r="B267" s="42">
        <v>0.10639973143711662</v>
      </c>
      <c r="C267" s="42">
        <v>57903.683584093749</v>
      </c>
      <c r="D267" s="42">
        <v>507.01162755211038</v>
      </c>
      <c r="E267" s="42">
        <v>360.37903988769187</v>
      </c>
      <c r="F267">
        <f t="shared" si="28"/>
        <v>-57903.683584093749</v>
      </c>
      <c r="G267">
        <f t="shared" si="29"/>
        <v>8327.5023651844876</v>
      </c>
      <c r="H267">
        <f t="shared" si="30"/>
        <v>11846.684469130538</v>
      </c>
      <c r="I267">
        <f t="shared" si="31"/>
        <v>29055.180516983557</v>
      </c>
      <c r="J267">
        <f t="shared" si="32"/>
        <v>15932.676778466144</v>
      </c>
      <c r="K267">
        <f t="shared" si="33"/>
        <v>27712.764671773431</v>
      </c>
      <c r="L267" s="42">
        <f t="shared" si="34"/>
        <v>8101.7956525821828</v>
      </c>
    </row>
    <row r="268" spans="2:12">
      <c r="B268" s="42">
        <v>0.1555711539048433</v>
      </c>
      <c r="C268" s="42">
        <v>56888.180181279946</v>
      </c>
      <c r="D268" s="42">
        <v>524.84359263893555</v>
      </c>
      <c r="E268" s="42">
        <v>322.71767326883753</v>
      </c>
      <c r="F268">
        <f t="shared" si="28"/>
        <v>-56888.180181279946</v>
      </c>
      <c r="G268">
        <f t="shared" si="29"/>
        <v>12606.48121585742</v>
      </c>
      <c r="H268">
        <f t="shared" si="30"/>
        <v>17457.503280739773</v>
      </c>
      <c r="I268">
        <f t="shared" si="31"/>
        <v>36479.302346873388</v>
      </c>
      <c r="J268">
        <f t="shared" si="32"/>
        <v>20479.135105441452</v>
      </c>
      <c r="K268">
        <f t="shared" si="33"/>
        <v>31692.305063020729</v>
      </c>
      <c r="L268" s="42">
        <f t="shared" si="34"/>
        <v>17600.356083304461</v>
      </c>
    </row>
    <row r="269" spans="2:12">
      <c r="B269" s="42">
        <v>0.17297585985900449</v>
      </c>
      <c r="C269" s="42">
        <v>55663.930173650318</v>
      </c>
      <c r="D269" s="42">
        <v>543.81084627826772</v>
      </c>
      <c r="E269" s="42">
        <v>323.14645832697533</v>
      </c>
      <c r="F269">
        <f t="shared" si="28"/>
        <v>-55663.930173650318</v>
      </c>
      <c r="G269">
        <f t="shared" si="29"/>
        <v>13918.853419598981</v>
      </c>
      <c r="H269">
        <f t="shared" si="30"/>
        <v>19214.798730430004</v>
      </c>
      <c r="I269">
        <f t="shared" si="31"/>
        <v>39193.636890774244</v>
      </c>
      <c r="J269">
        <f t="shared" si="32"/>
        <v>22076.016113772999</v>
      </c>
      <c r="K269">
        <f t="shared" si="33"/>
        <v>33333.981139561132</v>
      </c>
      <c r="L269" s="42">
        <f t="shared" si="34"/>
        <v>21127.335983632089</v>
      </c>
    </row>
    <row r="270" spans="2:12">
      <c r="B270" s="42">
        <v>0.14998626667073581</v>
      </c>
      <c r="C270" s="42">
        <v>58875.698110904261</v>
      </c>
      <c r="D270" s="42">
        <v>475.71489608447524</v>
      </c>
      <c r="E270" s="42">
        <v>343.0903042695395</v>
      </c>
      <c r="F270">
        <f t="shared" si="28"/>
        <v>-58875.698110904261</v>
      </c>
      <c r="G270">
        <f t="shared" si="29"/>
        <v>7488.5332804345817</v>
      </c>
      <c r="H270">
        <f t="shared" si="30"/>
        <v>10671.52348399304</v>
      </c>
      <c r="I270">
        <f t="shared" si="31"/>
        <v>26698.815881832328</v>
      </c>
      <c r="J270">
        <f t="shared" si="32"/>
        <v>14624.256721701709</v>
      </c>
      <c r="K270">
        <f t="shared" si="33"/>
        <v>26065.131382183295</v>
      </c>
      <c r="L270" s="42">
        <f t="shared" si="34"/>
        <v>-5417.3044734370342</v>
      </c>
    </row>
    <row r="271" spans="2:12">
      <c r="B271" s="42">
        <v>0.10936307870723594</v>
      </c>
      <c r="C271" s="42">
        <v>57735.374004333629</v>
      </c>
      <c r="D271" s="42">
        <v>544.97360148930329</v>
      </c>
      <c r="E271" s="42">
        <v>343.86089663380841</v>
      </c>
      <c r="F271">
        <f t="shared" si="28"/>
        <v>-57735.374004333629</v>
      </c>
      <c r="G271">
        <f t="shared" si="29"/>
        <v>12344.253975035859</v>
      </c>
      <c r="H271">
        <f t="shared" si="30"/>
        <v>17170.958891567741</v>
      </c>
      <c r="I271">
        <f t="shared" si="31"/>
        <v>36711.95104831081</v>
      </c>
      <c r="J271">
        <f t="shared" si="32"/>
        <v>20518.857997375409</v>
      </c>
      <c r="K271">
        <f t="shared" si="33"/>
        <v>32110.579546494952</v>
      </c>
      <c r="L271" s="42">
        <f t="shared" si="34"/>
        <v>26892.334247640847</v>
      </c>
    </row>
    <row r="272" spans="2:12">
      <c r="B272" s="42">
        <v>0.17578966643269145</v>
      </c>
      <c r="C272" s="42">
        <v>59111.606189153725</v>
      </c>
      <c r="D272" s="42">
        <v>498.09106723227637</v>
      </c>
      <c r="E272" s="42">
        <v>361.87292092654195</v>
      </c>
      <c r="F272">
        <f t="shared" si="28"/>
        <v>-59111.606189153725</v>
      </c>
      <c r="G272">
        <f t="shared" si="29"/>
        <v>7574.6320993682702</v>
      </c>
      <c r="H272">
        <f t="shared" si="30"/>
        <v>10843.867610705896</v>
      </c>
      <c r="I272">
        <f t="shared" si="31"/>
        <v>27561.561937314975</v>
      </c>
      <c r="J272">
        <f t="shared" si="32"/>
        <v>15045.998107852416</v>
      </c>
      <c r="K272">
        <f t="shared" si="33"/>
        <v>26832.146977141634</v>
      </c>
      <c r="L272" s="42">
        <f t="shared" si="34"/>
        <v>-8057.6062101546049</v>
      </c>
    </row>
    <row r="273" spans="2:12">
      <c r="B273" s="42">
        <v>0.14550920133060702</v>
      </c>
      <c r="C273" s="42">
        <v>59714.651936399423</v>
      </c>
      <c r="D273" s="42">
        <v>538.64711447492903</v>
      </c>
      <c r="E273" s="42">
        <v>365.48936429944763</v>
      </c>
      <c r="F273">
        <f t="shared" si="28"/>
        <v>-59714.651936399423</v>
      </c>
      <c r="G273">
        <f t="shared" si="29"/>
        <v>10164.795983764152</v>
      </c>
      <c r="H273">
        <f t="shared" si="30"/>
        <v>14320.581987975711</v>
      </c>
      <c r="I273">
        <f t="shared" si="31"/>
        <v>33019.840083010342</v>
      </c>
      <c r="J273">
        <f t="shared" si="32"/>
        <v>18244.50270088809</v>
      </c>
      <c r="K273">
        <f t="shared" si="33"/>
        <v>30169.626758629107</v>
      </c>
      <c r="L273" s="42">
        <f t="shared" si="34"/>
        <v>7931.7340165987989</v>
      </c>
    </row>
    <row r="274" spans="2:12">
      <c r="B274" s="42">
        <v>0.17129734183782466</v>
      </c>
      <c r="C274" s="42">
        <v>55200.506607257303</v>
      </c>
      <c r="D274" s="42">
        <v>519.53337199011196</v>
      </c>
      <c r="E274" s="42">
        <v>350.79927976317634</v>
      </c>
      <c r="F274">
        <f t="shared" si="28"/>
        <v>-55200.506607257303</v>
      </c>
      <c r="G274">
        <f t="shared" si="29"/>
        <v>9982.9270302438454</v>
      </c>
      <c r="H274">
        <f t="shared" si="30"/>
        <v>14032.545243690296</v>
      </c>
      <c r="I274">
        <f t="shared" si="31"/>
        <v>32109.564500869772</v>
      </c>
      <c r="J274">
        <f t="shared" si="32"/>
        <v>17775.927610095525</v>
      </c>
      <c r="K274">
        <f t="shared" si="33"/>
        <v>29427.782830286567</v>
      </c>
      <c r="L274" s="42">
        <f t="shared" si="34"/>
        <v>6324.7887179153258</v>
      </c>
    </row>
    <row r="275" spans="2:12">
      <c r="B275" s="42">
        <v>0.11326639606921599</v>
      </c>
      <c r="C275" s="42">
        <v>55127.262184514911</v>
      </c>
      <c r="D275" s="42">
        <v>512.33405560472431</v>
      </c>
      <c r="E275" s="42">
        <v>324.04675435651723</v>
      </c>
      <c r="F275">
        <f t="shared" si="28"/>
        <v>-55127.262184514911</v>
      </c>
      <c r="G275">
        <f t="shared" si="29"/>
        <v>11611.977599414047</v>
      </c>
      <c r="H275">
        <f t="shared" si="30"/>
        <v>16130.872829371019</v>
      </c>
      <c r="I275">
        <f t="shared" si="31"/>
        <v>34482.787560655546</v>
      </c>
      <c r="J275">
        <f t="shared" si="32"/>
        <v>19296.988433484916</v>
      </c>
      <c r="K275">
        <f t="shared" si="33"/>
        <v>30506.404614398634</v>
      </c>
      <c r="L275" s="42">
        <f t="shared" si="34"/>
        <v>23714.00387488908</v>
      </c>
    </row>
    <row r="276" spans="2:12">
      <c r="B276" s="42">
        <v>0.10684835352641378</v>
      </c>
      <c r="C276" s="42">
        <v>59619.586779381694</v>
      </c>
      <c r="D276" s="42">
        <v>548.20245979186382</v>
      </c>
      <c r="E276" s="42">
        <v>338.80703146458325</v>
      </c>
      <c r="F276">
        <f t="shared" si="28"/>
        <v>-59619.586779381694</v>
      </c>
      <c r="G276">
        <f t="shared" si="29"/>
        <v>12977.81212805567</v>
      </c>
      <c r="H276">
        <f t="shared" si="30"/>
        <v>18003.302407910403</v>
      </c>
      <c r="I276">
        <f t="shared" si="31"/>
        <v>37830.259102145465</v>
      </c>
      <c r="J276">
        <f t="shared" si="32"/>
        <v>21200.849024933628</v>
      </c>
      <c r="K276">
        <f t="shared" si="33"/>
        <v>32718.166447950687</v>
      </c>
      <c r="L276" s="42">
        <f t="shared" si="34"/>
        <v>28518.815424840461</v>
      </c>
    </row>
    <row r="277" spans="2:12">
      <c r="B277" s="42">
        <v>0.18515884884182257</v>
      </c>
      <c r="C277" s="42">
        <v>57989.440595721302</v>
      </c>
      <c r="D277" s="42">
        <v>485.81957457197791</v>
      </c>
      <c r="E277" s="42">
        <v>349.87304300057986</v>
      </c>
      <c r="F277">
        <f t="shared" si="28"/>
        <v>-57989.440595721302</v>
      </c>
      <c r="G277">
        <f t="shared" si="29"/>
        <v>7663.3463545640434</v>
      </c>
      <c r="H277">
        <f t="shared" si="30"/>
        <v>10926.063112277601</v>
      </c>
      <c r="I277">
        <f t="shared" si="31"/>
        <v>27305.908383434551</v>
      </c>
      <c r="J277">
        <f t="shared" si="32"/>
        <v>14950.639973143714</v>
      </c>
      <c r="K277">
        <f t="shared" si="33"/>
        <v>26520.247810296943</v>
      </c>
      <c r="L277" s="42">
        <f t="shared" si="34"/>
        <v>-8421.3317984363894</v>
      </c>
    </row>
    <row r="278" spans="2:12">
      <c r="B278" s="42">
        <v>0.17048249763481552</v>
      </c>
      <c r="C278" s="42">
        <v>59022.339548936427</v>
      </c>
      <c r="D278" s="42">
        <v>523.18338572344123</v>
      </c>
      <c r="E278" s="42">
        <v>349.05667287209695</v>
      </c>
      <c r="F278">
        <f t="shared" si="28"/>
        <v>-59022.339548936427</v>
      </c>
      <c r="G278">
        <f t="shared" si="29"/>
        <v>10381.486556596574</v>
      </c>
      <c r="H278">
        <f t="shared" si="30"/>
        <v>14560.527665028831</v>
      </c>
      <c r="I278">
        <f t="shared" si="31"/>
        <v>32865.520187994014</v>
      </c>
      <c r="J278">
        <f t="shared" si="32"/>
        <v>18229.237342448188</v>
      </c>
      <c r="K278">
        <f t="shared" si="33"/>
        <v>29860.510879848625</v>
      </c>
      <c r="L278" s="42">
        <f t="shared" si="34"/>
        <v>4273.5268013137229</v>
      </c>
    </row>
    <row r="279" spans="2:12">
      <c r="B279" s="42">
        <v>0.11153599658192695</v>
      </c>
      <c r="C279" s="42">
        <v>57799.76805932798</v>
      </c>
      <c r="D279" s="42">
        <v>452.77108066042052</v>
      </c>
      <c r="E279" s="42">
        <v>334.1224402600177</v>
      </c>
      <c r="F279">
        <f t="shared" si="28"/>
        <v>-57799.76805932798</v>
      </c>
      <c r="G279">
        <f t="shared" si="29"/>
        <v>6576.9515060884423</v>
      </c>
      <c r="H279">
        <f t="shared" si="30"/>
        <v>9424.5188756981079</v>
      </c>
      <c r="I279">
        <f t="shared" si="31"/>
        <v>24496.905423139135</v>
      </c>
      <c r="J279">
        <f t="shared" si="32"/>
        <v>13368.517715994749</v>
      </c>
      <c r="K279">
        <f t="shared" si="33"/>
        <v>24620.018921475872</v>
      </c>
      <c r="L279" s="42">
        <f t="shared" si="34"/>
        <v>-3149.1843528468835</v>
      </c>
    </row>
    <row r="280" spans="2:12">
      <c r="B280" s="42">
        <v>0.17398297067171239</v>
      </c>
      <c r="C280" s="42">
        <v>55429.2428357799</v>
      </c>
      <c r="D280" s="42">
        <v>511.9708853419599</v>
      </c>
      <c r="E280" s="42">
        <v>366.79403057954647</v>
      </c>
      <c r="F280">
        <f t="shared" si="28"/>
        <v>-55429.2428357799</v>
      </c>
      <c r="G280">
        <f t="shared" si="29"/>
        <v>8166.4104129154339</v>
      </c>
      <c r="H280">
        <f t="shared" si="30"/>
        <v>11650.65492721336</v>
      </c>
      <c r="I280">
        <f t="shared" si="31"/>
        <v>28958.113345744197</v>
      </c>
      <c r="J280">
        <f t="shared" si="32"/>
        <v>15845.973693044833</v>
      </c>
      <c r="K280">
        <f t="shared" si="33"/>
        <v>27738.619953001496</v>
      </c>
      <c r="L280" s="42">
        <f t="shared" si="34"/>
        <v>-1341.8305744485842</v>
      </c>
    </row>
    <row r="281" spans="2:12">
      <c r="B281" s="42">
        <v>0.14966582232123785</v>
      </c>
      <c r="C281" s="42">
        <v>56497.085482345043</v>
      </c>
      <c r="D281" s="42">
        <v>521.47740104373304</v>
      </c>
      <c r="E281" s="42">
        <v>323.03048799096655</v>
      </c>
      <c r="F281">
        <f t="shared" si="28"/>
        <v>-56497.085482345043</v>
      </c>
      <c r="G281">
        <f t="shared" si="29"/>
        <v>12342.456434827724</v>
      </c>
      <c r="H281">
        <f t="shared" si="30"/>
        <v>17105.182348094117</v>
      </c>
      <c r="I281">
        <f t="shared" si="31"/>
        <v>35947.798089541306</v>
      </c>
      <c r="J281">
        <f t="shared" si="32"/>
        <v>20164.617450483718</v>
      </c>
      <c r="K281">
        <f t="shared" si="33"/>
        <v>31376.060060426651</v>
      </c>
      <c r="L281" s="42">
        <f t="shared" si="34"/>
        <v>18001.70690859123</v>
      </c>
    </row>
    <row r="282" spans="2:12">
      <c r="B282" s="42">
        <v>0.1239509262367626</v>
      </c>
      <c r="C282" s="42">
        <v>55083.162938322093</v>
      </c>
      <c r="D282" s="42">
        <v>488.63948484756003</v>
      </c>
      <c r="E282" s="42">
        <v>363.02804651020847</v>
      </c>
      <c r="F282">
        <f t="shared" si="28"/>
        <v>-55083.162938322093</v>
      </c>
      <c r="G282">
        <f t="shared" si="29"/>
        <v>6811.1597033600829</v>
      </c>
      <c r="H282">
        <f t="shared" si="30"/>
        <v>9825.8342234565243</v>
      </c>
      <c r="I282">
        <f t="shared" si="31"/>
        <v>26033.774834437078</v>
      </c>
      <c r="J282">
        <f t="shared" si="32"/>
        <v>14140.751976073483</v>
      </c>
      <c r="K282">
        <f t="shared" si="33"/>
        <v>25926.479689931941</v>
      </c>
      <c r="L282" s="42">
        <f t="shared" si="34"/>
        <v>406.20440272292944</v>
      </c>
    </row>
    <row r="283" spans="2:12">
      <c r="B283" s="42">
        <v>0.17595751823480943</v>
      </c>
      <c r="C283" s="42">
        <v>59410.229804376351</v>
      </c>
      <c r="D283" s="42">
        <v>479.16348765526294</v>
      </c>
      <c r="E283" s="42">
        <v>327.52281258583332</v>
      </c>
      <c r="F283">
        <f t="shared" si="28"/>
        <v>-59410.229804376351</v>
      </c>
      <c r="G283">
        <f t="shared" si="29"/>
        <v>8978.7826166570012</v>
      </c>
      <c r="H283">
        <f t="shared" si="30"/>
        <v>12618.158818323318</v>
      </c>
      <c r="I283">
        <f t="shared" si="31"/>
        <v>29194.949186681722</v>
      </c>
      <c r="J283">
        <f t="shared" si="32"/>
        <v>16166.234931485948</v>
      </c>
      <c r="K283">
        <f t="shared" si="33"/>
        <v>27364.926908169808</v>
      </c>
      <c r="L283" s="42">
        <f t="shared" si="34"/>
        <v>-4075.4449133436319</v>
      </c>
    </row>
    <row r="284" spans="2:12">
      <c r="B284" s="42">
        <v>0.10878322702719199</v>
      </c>
      <c r="C284" s="42">
        <v>58251.441999572744</v>
      </c>
      <c r="D284" s="42">
        <v>544.37238685262616</v>
      </c>
      <c r="E284" s="42">
        <v>323.71715445417647</v>
      </c>
      <c r="F284">
        <f t="shared" si="28"/>
        <v>-58251.441999572744</v>
      </c>
      <c r="G284">
        <f t="shared" si="29"/>
        <v>13913.067110202339</v>
      </c>
      <c r="H284">
        <f t="shared" si="30"/>
        <v>19208.792687765137</v>
      </c>
      <c r="I284">
        <f t="shared" si="31"/>
        <v>39202.572710348832</v>
      </c>
      <c r="J284">
        <f t="shared" si="32"/>
        <v>22078.652912991733</v>
      </c>
      <c r="K284">
        <f t="shared" si="33"/>
        <v>33346.872157963808</v>
      </c>
      <c r="L284" s="42">
        <f t="shared" si="34"/>
        <v>33186.596237309765</v>
      </c>
    </row>
    <row r="285" spans="2:12">
      <c r="B285" s="42">
        <v>0.15348368785668509</v>
      </c>
      <c r="C285" s="42">
        <v>59733.420819727166</v>
      </c>
      <c r="D285" s="42">
        <v>549.89013336588641</v>
      </c>
      <c r="E285" s="42">
        <v>361.67149876400038</v>
      </c>
      <c r="F285">
        <f t="shared" si="28"/>
        <v>-59733.420819727166</v>
      </c>
      <c r="G285">
        <f t="shared" si="29"/>
        <v>11268.479567857907</v>
      </c>
      <c r="H285">
        <f t="shared" si="30"/>
        <v>15785.726798303171</v>
      </c>
      <c r="I285">
        <f t="shared" si="31"/>
        <v>35150.007629627369</v>
      </c>
      <c r="J285">
        <f t="shared" si="32"/>
        <v>19516.831568346202</v>
      </c>
      <c r="K285">
        <f t="shared" si="33"/>
        <v>31403.35581530198</v>
      </c>
      <c r="L285" s="42">
        <f t="shared" si="34"/>
        <v>11206.167811643087</v>
      </c>
    </row>
    <row r="286" spans="2:12">
      <c r="B286" s="42">
        <v>0.11068147831659902</v>
      </c>
      <c r="C286" s="42">
        <v>55758.079775383769</v>
      </c>
      <c r="D286" s="42">
        <v>545.51072725608083</v>
      </c>
      <c r="E286" s="42">
        <v>356.45741142002623</v>
      </c>
      <c r="F286">
        <f t="shared" si="28"/>
        <v>-55758.079775383769</v>
      </c>
      <c r="G286">
        <f t="shared" si="29"/>
        <v>11374.668721579645</v>
      </c>
      <c r="H286">
        <f t="shared" si="30"/>
        <v>15911.948301644949</v>
      </c>
      <c r="I286">
        <f t="shared" si="31"/>
        <v>35178.017517624437</v>
      </c>
      <c r="J286">
        <f t="shared" si="32"/>
        <v>19557.329630420856</v>
      </c>
      <c r="K286">
        <f t="shared" si="33"/>
        <v>31351.669667653434</v>
      </c>
      <c r="L286" s="42">
        <f t="shared" si="34"/>
        <v>24456.38940951915</v>
      </c>
    </row>
    <row r="287" spans="2:12">
      <c r="B287" s="42">
        <v>0.15265053254799035</v>
      </c>
      <c r="C287" s="42">
        <v>58558.915982543411</v>
      </c>
      <c r="D287" s="42">
        <v>525.41123691518908</v>
      </c>
      <c r="E287" s="42">
        <v>356.39637440107424</v>
      </c>
      <c r="F287">
        <f t="shared" si="28"/>
        <v>-58558.915982543411</v>
      </c>
      <c r="G287">
        <f t="shared" si="29"/>
        <v>9952.4878688924837</v>
      </c>
      <c r="H287">
        <f t="shared" si="30"/>
        <v>14008.844569231245</v>
      </c>
      <c r="I287">
        <f t="shared" si="31"/>
        <v>32251.304666280099</v>
      </c>
      <c r="J287">
        <f t="shared" si="32"/>
        <v>17833.656422620323</v>
      </c>
      <c r="K287">
        <f t="shared" si="33"/>
        <v>29586.820886867885</v>
      </c>
      <c r="L287" s="42">
        <f t="shared" si="34"/>
        <v>6323.8774254237578</v>
      </c>
    </row>
    <row r="288" spans="2:12">
      <c r="B288" s="42">
        <v>0.17368388927884762</v>
      </c>
      <c r="C288" s="42">
        <v>55524.460585345012</v>
      </c>
      <c r="D288" s="42">
        <v>525.59129612109746</v>
      </c>
      <c r="E288" s="42">
        <v>347.99462874233222</v>
      </c>
      <c r="F288">
        <f t="shared" si="28"/>
        <v>-55524.460585345012</v>
      </c>
      <c r="G288">
        <f t="shared" si="29"/>
        <v>10637.411725211341</v>
      </c>
      <c r="H288">
        <f t="shared" si="30"/>
        <v>14899.731742301708</v>
      </c>
      <c r="I288">
        <f t="shared" si="31"/>
        <v>33353.016754661701</v>
      </c>
      <c r="J288">
        <f t="shared" si="32"/>
        <v>18521.281167027802</v>
      </c>
      <c r="K288">
        <f t="shared" si="33"/>
        <v>30140.377819147314</v>
      </c>
      <c r="L288" s="42">
        <f t="shared" si="34"/>
        <v>8277.5500818410546</v>
      </c>
    </row>
    <row r="289" spans="2:12">
      <c r="B289" s="42">
        <v>0.15682851649525439</v>
      </c>
      <c r="C289" s="42">
        <v>59997.405926694541</v>
      </c>
      <c r="D289" s="42">
        <v>534.83840449232457</v>
      </c>
      <c r="E289" s="42">
        <v>341.01504562517169</v>
      </c>
      <c r="F289">
        <f t="shared" si="28"/>
        <v>-59997.405926694541</v>
      </c>
      <c r="G289">
        <f t="shared" si="29"/>
        <v>11852.323068941314</v>
      </c>
      <c r="H289">
        <f t="shared" si="30"/>
        <v>16504.083681752978</v>
      </c>
      <c r="I289">
        <f t="shared" si="31"/>
        <v>35596.481215857413</v>
      </c>
      <c r="J289">
        <f t="shared" si="32"/>
        <v>19874.899136326181</v>
      </c>
      <c r="K289">
        <f t="shared" si="33"/>
        <v>31400.816675313574</v>
      </c>
      <c r="L289" s="42">
        <f t="shared" si="34"/>
        <v>11827.924881519986</v>
      </c>
    </row>
    <row r="290" spans="2:12">
      <c r="B290" s="42">
        <v>0.15748466444898832</v>
      </c>
      <c r="C290" s="42">
        <v>59902.035584582052</v>
      </c>
      <c r="D290" s="42">
        <v>539.41007721182893</v>
      </c>
      <c r="E290" s="42">
        <v>357.31345561082799</v>
      </c>
      <c r="F290">
        <f t="shared" si="28"/>
        <v>-59902.035584582052</v>
      </c>
      <c r="G290">
        <f t="shared" si="29"/>
        <v>10873.039033173616</v>
      </c>
      <c r="H290">
        <f t="shared" si="30"/>
        <v>15243.357951597633</v>
      </c>
      <c r="I290">
        <f t="shared" si="31"/>
        <v>34177.748954741044</v>
      </c>
      <c r="J290">
        <f t="shared" si="32"/>
        <v>18964.190191351048</v>
      </c>
      <c r="K290">
        <f t="shared" si="33"/>
        <v>30760.025635547958</v>
      </c>
      <c r="L290" s="42">
        <f t="shared" si="34"/>
        <v>8278.6887597057976</v>
      </c>
    </row>
    <row r="291" spans="2:12">
      <c r="B291" s="42">
        <v>0.18879055146946624</v>
      </c>
      <c r="C291" s="42">
        <v>58416.699728385269</v>
      </c>
      <c r="D291" s="42">
        <v>493.75743888668478</v>
      </c>
      <c r="E291" s="42">
        <v>350.92287972655413</v>
      </c>
      <c r="F291">
        <f t="shared" si="28"/>
        <v>-58416.699728385269</v>
      </c>
      <c r="G291">
        <f t="shared" si="29"/>
        <v>8142.9477828302888</v>
      </c>
      <c r="H291">
        <f t="shared" si="30"/>
        <v>11570.977202673424</v>
      </c>
      <c r="I291">
        <f t="shared" si="31"/>
        <v>28330.457472457048</v>
      </c>
      <c r="J291">
        <f t="shared" si="32"/>
        <v>15549.309366130561</v>
      </c>
      <c r="K291">
        <f t="shared" si="33"/>
        <v>27151.590319528797</v>
      </c>
      <c r="L291" s="42">
        <f t="shared" si="34"/>
        <v>-7294.7576276814925</v>
      </c>
    </row>
    <row r="292" spans="2:12">
      <c r="B292" s="42">
        <v>0.19443037202063052</v>
      </c>
      <c r="C292" s="42">
        <v>57075.563829462568</v>
      </c>
      <c r="D292" s="42">
        <v>481.55613879818111</v>
      </c>
      <c r="E292" s="42">
        <v>331.81981872005372</v>
      </c>
      <c r="F292">
        <f t="shared" si="28"/>
        <v>-57075.563829462568</v>
      </c>
      <c r="G292">
        <f t="shared" si="29"/>
        <v>8804.9003570665627</v>
      </c>
      <c r="H292">
        <f t="shared" si="30"/>
        <v>12398.572038941618</v>
      </c>
      <c r="I292">
        <f t="shared" si="31"/>
        <v>28994.259468367563</v>
      </c>
      <c r="J292">
        <f t="shared" si="32"/>
        <v>16028.242439039279</v>
      </c>
      <c r="K292">
        <f t="shared" si="33"/>
        <v>27300.4718161565</v>
      </c>
      <c r="L292" s="42">
        <f t="shared" si="34"/>
        <v>-4893.9256679123664</v>
      </c>
    </row>
    <row r="293" spans="2:12">
      <c r="B293" s="42">
        <v>0.13075045014801479</v>
      </c>
      <c r="C293" s="42">
        <v>57332.377086703083</v>
      </c>
      <c r="D293" s="42">
        <v>450.54628131962033</v>
      </c>
      <c r="E293" s="42">
        <v>361.25034333323163</v>
      </c>
      <c r="F293">
        <f t="shared" si="28"/>
        <v>-57332.377086703083</v>
      </c>
      <c r="G293">
        <f t="shared" si="29"/>
        <v>4248.7585070345131</v>
      </c>
      <c r="H293">
        <f t="shared" si="30"/>
        <v>6391.861018707842</v>
      </c>
      <c r="I293">
        <f t="shared" si="31"/>
        <v>20699.713126010924</v>
      </c>
      <c r="J293">
        <f t="shared" si="32"/>
        <v>11006.952726828818</v>
      </c>
      <c r="K293">
        <f t="shared" si="33"/>
        <v>22688.050782799764</v>
      </c>
      <c r="L293" s="42">
        <f t="shared" si="34"/>
        <v>-15252.168203466108</v>
      </c>
    </row>
    <row r="294" spans="2:12">
      <c r="B294" s="42">
        <v>0.15634632404553361</v>
      </c>
      <c r="C294" s="42">
        <v>57322.458571123389</v>
      </c>
      <c r="D294" s="42">
        <v>541.66234321115758</v>
      </c>
      <c r="E294" s="42">
        <v>359.70000305185096</v>
      </c>
      <c r="F294">
        <f t="shared" si="28"/>
        <v>-57322.458571123389</v>
      </c>
      <c r="G294">
        <f t="shared" si="29"/>
        <v>10842.026123844113</v>
      </c>
      <c r="H294">
        <f t="shared" si="30"/>
        <v>15209.122287667476</v>
      </c>
      <c r="I294">
        <f t="shared" si="31"/>
        <v>34201.101718192083</v>
      </c>
      <c r="J294">
        <f t="shared" si="32"/>
        <v>18966.961272011478</v>
      </c>
      <c r="K294">
        <f t="shared" si="33"/>
        <v>30805.486007263404</v>
      </c>
      <c r="L294" s="42">
        <f t="shared" si="34"/>
        <v>11055.97577081121</v>
      </c>
    </row>
    <row r="295" spans="2:12">
      <c r="B295" s="42">
        <v>0.14302194280831326</v>
      </c>
      <c r="C295" s="42">
        <v>56978.972746971041</v>
      </c>
      <c r="D295" s="42">
        <v>538.25647755363627</v>
      </c>
      <c r="E295" s="42">
        <v>369.83520004882962</v>
      </c>
      <c r="F295">
        <f t="shared" si="28"/>
        <v>-56978.972746971041</v>
      </c>
      <c r="G295">
        <f t="shared" si="29"/>
        <v>9789.3939024018036</v>
      </c>
      <c r="H295">
        <f t="shared" si="30"/>
        <v>13831.50456251717</v>
      </c>
      <c r="I295">
        <f t="shared" si="31"/>
        <v>32406.540116580705</v>
      </c>
      <c r="J295">
        <f t="shared" si="32"/>
        <v>17863.241065706348</v>
      </c>
      <c r="K295">
        <f t="shared" si="33"/>
        <v>29857.117221594897</v>
      </c>
      <c r="L295" s="42">
        <f t="shared" si="34"/>
        <v>9640.6773355123878</v>
      </c>
    </row>
    <row r="296" spans="2:12">
      <c r="B296" s="42">
        <v>0.1412030396435438</v>
      </c>
      <c r="C296" s="42">
        <v>57404.705954161196</v>
      </c>
      <c r="D296" s="42">
        <v>496.04937894833216</v>
      </c>
      <c r="E296" s="42">
        <v>350.87862788781393</v>
      </c>
      <c r="F296">
        <f t="shared" si="28"/>
        <v>-57404.705954161196</v>
      </c>
      <c r="G296">
        <f t="shared" si="29"/>
        <v>8309.2156743064697</v>
      </c>
      <c r="H296">
        <f t="shared" si="30"/>
        <v>11793.313699758904</v>
      </c>
      <c r="I296">
        <f t="shared" si="31"/>
        <v>28670.744956816314</v>
      </c>
      <c r="J296">
        <f t="shared" si="32"/>
        <v>15749.956358531452</v>
      </c>
      <c r="K296">
        <f t="shared" si="33"/>
        <v>27356.113162633141</v>
      </c>
      <c r="L296" s="42">
        <f t="shared" si="34"/>
        <v>1641.7999344849286</v>
      </c>
    </row>
    <row r="297" spans="2:12">
      <c r="B297" s="42">
        <v>0.1762749107333598</v>
      </c>
      <c r="C297" s="42">
        <v>55093.691824091315</v>
      </c>
      <c r="D297" s="42">
        <v>457.82494582964569</v>
      </c>
      <c r="E297" s="42">
        <v>364.68520157475507</v>
      </c>
      <c r="F297">
        <f t="shared" si="28"/>
        <v>-55093.691824091315</v>
      </c>
      <c r="G297">
        <f t="shared" si="29"/>
        <v>4490.7550279244379</v>
      </c>
      <c r="H297">
        <f t="shared" si="30"/>
        <v>6726.1088900418099</v>
      </c>
      <c r="I297">
        <f t="shared" si="31"/>
        <v>21322.736289559623</v>
      </c>
      <c r="J297">
        <f t="shared" si="32"/>
        <v>11358.129215369121</v>
      </c>
      <c r="K297">
        <f t="shared" si="33"/>
        <v>23108.742332224494</v>
      </c>
      <c r="L297" s="42">
        <f t="shared" si="34"/>
        <v>-17118.359040433214</v>
      </c>
    </row>
    <row r="298" spans="2:12">
      <c r="B298" s="42">
        <v>0.11947386089663381</v>
      </c>
      <c r="C298" s="42">
        <v>58877.681814020201</v>
      </c>
      <c r="D298" s="42">
        <v>483.38114566484575</v>
      </c>
      <c r="E298" s="42">
        <v>353.59477523117772</v>
      </c>
      <c r="F298">
        <f t="shared" si="28"/>
        <v>-58877.681814020201</v>
      </c>
      <c r="G298">
        <f t="shared" si="29"/>
        <v>7192.4793237098302</v>
      </c>
      <c r="H298">
        <f t="shared" si="30"/>
        <v>10307.352214117866</v>
      </c>
      <c r="I298">
        <f t="shared" si="31"/>
        <v>26473.516037476729</v>
      </c>
      <c r="J298">
        <f t="shared" si="32"/>
        <v>14443.196508682517</v>
      </c>
      <c r="K298">
        <f t="shared" si="33"/>
        <v>26067.475203711052</v>
      </c>
      <c r="L298" s="42">
        <f t="shared" si="34"/>
        <v>-1335.8591442418601</v>
      </c>
    </row>
    <row r="299" spans="2:12">
      <c r="B299" s="42">
        <v>0.18286996063112279</v>
      </c>
      <c r="C299" s="42">
        <v>57945.646534623251</v>
      </c>
      <c r="D299" s="42">
        <v>474.98550370799887</v>
      </c>
      <c r="E299" s="42">
        <v>367.43949705496385</v>
      </c>
      <c r="F299">
        <f t="shared" si="28"/>
        <v>-57945.646534623251</v>
      </c>
      <c r="G299">
        <f t="shared" si="29"/>
        <v>5488.810998870812</v>
      </c>
      <c r="H299">
        <f t="shared" si="30"/>
        <v>8069.9151585436548</v>
      </c>
      <c r="I299">
        <f t="shared" si="31"/>
        <v>23475.627918332459</v>
      </c>
      <c r="J299">
        <f t="shared" si="32"/>
        <v>12613.593554490795</v>
      </c>
      <c r="K299">
        <f t="shared" si="33"/>
        <v>24442.596514786212</v>
      </c>
      <c r="L299" s="42">
        <f t="shared" si="34"/>
        <v>-16355.416194280315</v>
      </c>
    </row>
    <row r="300" spans="2:12">
      <c r="B300" s="42">
        <v>0.14899746696371349</v>
      </c>
      <c r="C300" s="42">
        <v>58596.148564104129</v>
      </c>
      <c r="D300" s="42">
        <v>542.56569109164707</v>
      </c>
      <c r="E300" s="42">
        <v>344.51704458754233</v>
      </c>
      <c r="F300">
        <f t="shared" si="28"/>
        <v>-58596.148564104129</v>
      </c>
      <c r="G300">
        <f t="shared" si="29"/>
        <v>12120.800500503557</v>
      </c>
      <c r="H300">
        <f t="shared" si="30"/>
        <v>16873.968016602073</v>
      </c>
      <c r="I300">
        <f t="shared" si="31"/>
        <v>36276.409192175051</v>
      </c>
      <c r="J300">
        <f t="shared" si="32"/>
        <v>20259.285866878261</v>
      </c>
      <c r="K300">
        <f t="shared" si="33"/>
        <v>31856.689962462231</v>
      </c>
      <c r="L300" s="42">
        <f t="shared" si="34"/>
        <v>16180.526927108142</v>
      </c>
    </row>
    <row r="301" spans="2:12">
      <c r="B301" s="42">
        <v>0.12577593310342725</v>
      </c>
      <c r="C301" s="42">
        <v>56138.645588549458</v>
      </c>
      <c r="D301" s="42">
        <v>521.0043641468551</v>
      </c>
      <c r="E301" s="42">
        <v>351.47068697164832</v>
      </c>
      <c r="F301">
        <f t="shared" si="28"/>
        <v>-56138.645588549458</v>
      </c>
      <c r="G301">
        <f t="shared" si="29"/>
        <v>10033.654896694843</v>
      </c>
      <c r="H301">
        <f t="shared" si="30"/>
        <v>14102.463148899811</v>
      </c>
      <c r="I301">
        <f t="shared" si="31"/>
        <v>32238.389233069858</v>
      </c>
      <c r="J301">
        <f t="shared" si="32"/>
        <v>17848.720358897674</v>
      </c>
      <c r="K301">
        <f t="shared" si="33"/>
        <v>29514.260078737756</v>
      </c>
      <c r="L301" s="42">
        <f t="shared" si="34"/>
        <v>13930.741069131504</v>
      </c>
    </row>
    <row r="302" spans="2:12">
      <c r="B302" s="42">
        <v>0.18766747032074954</v>
      </c>
      <c r="C302" s="42">
        <v>57198.706015198215</v>
      </c>
      <c r="D302" s="42">
        <v>467.11172826319165</v>
      </c>
      <c r="E302" s="42">
        <v>358.98892178106018</v>
      </c>
      <c r="F302">
        <f t="shared" si="28"/>
        <v>-57198.706015198215</v>
      </c>
      <c r="G302">
        <f t="shared" si="29"/>
        <v>5605.8189642017915</v>
      </c>
      <c r="H302">
        <f t="shared" si="30"/>
        <v>8200.7663197729489</v>
      </c>
      <c r="I302">
        <f t="shared" si="31"/>
        <v>23407.730338450274</v>
      </c>
      <c r="J302">
        <f t="shared" si="32"/>
        <v>12612.494888149668</v>
      </c>
      <c r="K302">
        <f t="shared" si="33"/>
        <v>24290.541093173011</v>
      </c>
      <c r="L302" s="42">
        <f t="shared" si="34"/>
        <v>-16074.004538401718</v>
      </c>
    </row>
    <row r="303" spans="2:12">
      <c r="B303" s="42">
        <v>0.12212897122104557</v>
      </c>
      <c r="C303" s="42">
        <v>57223.273415326395</v>
      </c>
      <c r="D303" s="42">
        <v>459.65300454725792</v>
      </c>
      <c r="E303" s="42">
        <v>347.45902890102849</v>
      </c>
      <c r="F303">
        <f t="shared" si="28"/>
        <v>-57223.273415326395</v>
      </c>
      <c r="G303">
        <f t="shared" si="29"/>
        <v>5998.6410107730344</v>
      </c>
      <c r="H303">
        <f t="shared" si="30"/>
        <v>8691.2964262825408</v>
      </c>
      <c r="I303">
        <f t="shared" si="31"/>
        <v>23794.58296456801</v>
      </c>
      <c r="J303">
        <f t="shared" si="32"/>
        <v>12893.436078981902</v>
      </c>
      <c r="K303">
        <f t="shared" si="33"/>
        <v>24372.086550492873</v>
      </c>
      <c r="L303" s="42">
        <f t="shared" si="34"/>
        <v>-6304.1378177144688</v>
      </c>
    </row>
    <row r="304" spans="2:12">
      <c r="B304" s="42">
        <v>0.11786248359630117</v>
      </c>
      <c r="C304" s="42">
        <v>58852.504043702509</v>
      </c>
      <c r="D304" s="42">
        <v>514.00036622211371</v>
      </c>
      <c r="E304" s="42">
        <v>335.47746208075199</v>
      </c>
      <c r="F304">
        <f t="shared" si="28"/>
        <v>-58852.504043702509</v>
      </c>
      <c r="G304">
        <f t="shared" si="29"/>
        <v>10815.829035309916</v>
      </c>
      <c r="H304">
        <f t="shared" si="30"/>
        <v>15100.378734702597</v>
      </c>
      <c r="I304">
        <f t="shared" si="31"/>
        <v>33262.938322092348</v>
      </c>
      <c r="J304">
        <f t="shared" si="32"/>
        <v>18525.834528641622</v>
      </c>
      <c r="K304">
        <f t="shared" si="33"/>
        <v>29921.474654377882</v>
      </c>
      <c r="L304" s="42">
        <f t="shared" si="34"/>
        <v>15723.946202430829</v>
      </c>
    </row>
    <row r="305" spans="2:12">
      <c r="B305" s="42">
        <v>0.10473036896877957</v>
      </c>
      <c r="C305" s="42">
        <v>59643.848994415115</v>
      </c>
      <c r="D305" s="42">
        <v>531.36234626300848</v>
      </c>
      <c r="E305" s="42">
        <v>326.63930173650317</v>
      </c>
      <c r="F305">
        <f t="shared" si="28"/>
        <v>-59643.848994415115</v>
      </c>
      <c r="G305">
        <f t="shared" si="29"/>
        <v>12755.582445753353</v>
      </c>
      <c r="H305">
        <f t="shared" si="30"/>
        <v>17668.935514389475</v>
      </c>
      <c r="I305">
        <f t="shared" si="31"/>
        <v>36929.071932126826</v>
      </c>
      <c r="J305">
        <f t="shared" si="32"/>
        <v>20726.017639698479</v>
      </c>
      <c r="K305">
        <f t="shared" si="33"/>
        <v>32014.971160008543</v>
      </c>
      <c r="L305" s="42">
        <f t="shared" si="34"/>
        <v>27142.645012053639</v>
      </c>
    </row>
    <row r="306" spans="2:12">
      <c r="B306" s="42">
        <v>0.1576067384868923</v>
      </c>
      <c r="C306" s="42">
        <v>58037.659840693377</v>
      </c>
      <c r="D306" s="42">
        <v>459.11587878048039</v>
      </c>
      <c r="E306" s="42">
        <v>365.98223822748497</v>
      </c>
      <c r="F306">
        <f t="shared" si="28"/>
        <v>-58037.659840693377</v>
      </c>
      <c r="G306">
        <f t="shared" si="29"/>
        <v>4478.64833521531</v>
      </c>
      <c r="H306">
        <f t="shared" si="30"/>
        <v>6713.8557084872009</v>
      </c>
      <c r="I306">
        <f t="shared" si="31"/>
        <v>21345.19180883206</v>
      </c>
      <c r="J306">
        <f t="shared" si="32"/>
        <v>11365.386516922516</v>
      </c>
      <c r="K306">
        <f t="shared" si="33"/>
        <v>23139.334086123235</v>
      </c>
      <c r="L306" s="42">
        <f t="shared" si="34"/>
        <v>-17938.316155409029</v>
      </c>
    </row>
    <row r="307" spans="2:12">
      <c r="B307" s="42">
        <v>0.10146183660390028</v>
      </c>
      <c r="C307" s="42">
        <v>55055.848872341077</v>
      </c>
      <c r="D307" s="42">
        <v>523.19254127628403</v>
      </c>
      <c r="E307" s="42">
        <v>348.9986877040925</v>
      </c>
      <c r="F307">
        <f t="shared" si="28"/>
        <v>-55055.848872341077</v>
      </c>
      <c r="G307">
        <f t="shared" si="29"/>
        <v>10386.775414288764</v>
      </c>
      <c r="H307">
        <f t="shared" si="30"/>
        <v>14567.427900021365</v>
      </c>
      <c r="I307">
        <f t="shared" si="31"/>
        <v>32874.279000213624</v>
      </c>
      <c r="J307">
        <f t="shared" si="32"/>
        <v>18234.663533433028</v>
      </c>
      <c r="K307">
        <f t="shared" si="33"/>
        <v>29865.027619251072</v>
      </c>
      <c r="L307" s="42">
        <f t="shared" si="34"/>
        <v>21791.765291237127</v>
      </c>
    </row>
    <row r="308" spans="2:12">
      <c r="B308" s="42">
        <v>0.1836878566850795</v>
      </c>
      <c r="C308" s="42">
        <v>56655.476546525468</v>
      </c>
      <c r="D308" s="42">
        <v>478.33948789941098</v>
      </c>
      <c r="E308" s="42">
        <v>353.24991607409896</v>
      </c>
      <c r="F308">
        <f t="shared" si="28"/>
        <v>-56655.476546525468</v>
      </c>
      <c r="G308">
        <f t="shared" si="29"/>
        <v>6862.1103549302634</v>
      </c>
      <c r="H308">
        <f t="shared" si="30"/>
        <v>9864.2600787377523</v>
      </c>
      <c r="I308">
        <f t="shared" si="31"/>
        <v>25781.575975829335</v>
      </c>
      <c r="J308">
        <f t="shared" si="32"/>
        <v>14037.202673421429</v>
      </c>
      <c r="K308">
        <f t="shared" si="33"/>
        <v>25645.88030640583</v>
      </c>
      <c r="L308" s="42">
        <f t="shared" si="34"/>
        <v>-10085.776180626033</v>
      </c>
    </row>
    <row r="309" spans="2:12">
      <c r="B309" s="42">
        <v>0.18190557573168128</v>
      </c>
      <c r="C309" s="42">
        <v>58545.640430921354</v>
      </c>
      <c r="D309" s="42">
        <v>452.57576219977415</v>
      </c>
      <c r="E309" s="42">
        <v>336.32587664418469</v>
      </c>
      <c r="F309">
        <f t="shared" si="28"/>
        <v>-58545.640430921354</v>
      </c>
      <c r="G309">
        <f t="shared" si="29"/>
        <v>6386.8089846491912</v>
      </c>
      <c r="H309">
        <f t="shared" si="30"/>
        <v>9176.8062379833354</v>
      </c>
      <c r="I309">
        <f t="shared" si="31"/>
        <v>24186.349070711385</v>
      </c>
      <c r="J309">
        <f t="shared" si="32"/>
        <v>13175.445417645802</v>
      </c>
      <c r="K309">
        <f t="shared" si="33"/>
        <v>24461.810968352307</v>
      </c>
      <c r="L309" s="42">
        <f t="shared" si="34"/>
        <v>-14564.349909385361</v>
      </c>
    </row>
    <row r="310" spans="2:12">
      <c r="B310" s="42">
        <v>0.14374523148289439</v>
      </c>
      <c r="C310" s="42">
        <v>57239.600817896055</v>
      </c>
      <c r="D310" s="42">
        <v>515.48051393169953</v>
      </c>
      <c r="E310" s="42">
        <v>357.38975188451798</v>
      </c>
      <c r="F310">
        <f t="shared" ref="F310:F373" si="35">-C310</f>
        <v>-57239.600817896055</v>
      </c>
      <c r="G310">
        <f t="shared" ref="G310:G373" si="36">((D310-E310)*$E$14-$E$18-$E$20)*(1-0.2)+$E$20-0.3*($F$14*D310-$E$14*D310)</f>
        <v>9167.9363383892287</v>
      </c>
      <c r="H310">
        <f t="shared" ref="H310:H373" si="37">($F$14*(D310-E310)-$F$18-$F$20)*0.8+$F$20-0.3*($G$14*D310-$F$14*D310)</f>
        <v>12962.114627521587</v>
      </c>
      <c r="I310">
        <f t="shared" ref="I310:I373" si="38">($G$14*(D310-E310)-$G$18-$G$20)*0.8+$H$20-0.3*($H$14*D310-$G$14*D310)</f>
        <v>30674.266792809831</v>
      </c>
      <c r="J310">
        <f t="shared" ref="J310:J373" si="39">($H$14*(D310-E310)-$H$18-$H$20)*0.8+$H$20-0.3*($I$14*D310-$H$14*D310)</f>
        <v>16900.144047364724</v>
      </c>
      <c r="K310">
        <f t="shared" ref="K310:K373" si="40">($I$14*(D310-E310)-$I$18-$I$20)*0.8+$I$20+$I$14*D310*0.3+$I$31</f>
        <v>28649.341105380408</v>
      </c>
      <c r="L310" s="42">
        <f t="shared" ref="L310:L373" si="41">F310+G310/(1+B310)^1+H310/(1+B310)^2+I310/(1+B310)^3+J310/(1+B310)^4+K310/(1+B310)^5</f>
        <v>5699.7226481875459</v>
      </c>
    </row>
    <row r="311" spans="2:12">
      <c r="B311" s="42">
        <v>0.16526078066347241</v>
      </c>
      <c r="C311" s="42">
        <v>58777.58110293893</v>
      </c>
      <c r="D311" s="42">
        <v>506.01367229224525</v>
      </c>
      <c r="E311" s="42">
        <v>334.9540696432386</v>
      </c>
      <c r="F311">
        <f t="shared" si="35"/>
        <v>-58777.58110293893</v>
      </c>
      <c r="G311">
        <f t="shared" si="36"/>
        <v>10290.645161290326</v>
      </c>
      <c r="H311">
        <f t="shared" si="37"/>
        <v>14396.075624866487</v>
      </c>
      <c r="I311">
        <f t="shared" si="38"/>
        <v>32163.875240333266</v>
      </c>
      <c r="J311">
        <f t="shared" si="39"/>
        <v>17880.850245674006</v>
      </c>
      <c r="K311">
        <f t="shared" si="40"/>
        <v>29252.142704550311</v>
      </c>
      <c r="L311" s="42">
        <f t="shared" si="41"/>
        <v>4298.1274410908172</v>
      </c>
    </row>
    <row r="312" spans="2:12">
      <c r="B312" s="42">
        <v>0.10007629627369</v>
      </c>
      <c r="C312" s="42">
        <v>55551.011688589126</v>
      </c>
      <c r="D312" s="42">
        <v>538.42432935575425</v>
      </c>
      <c r="E312" s="42">
        <v>350.08514664143803</v>
      </c>
      <c r="F312">
        <f t="shared" si="35"/>
        <v>-55551.011688589126</v>
      </c>
      <c r="G312">
        <f t="shared" si="36"/>
        <v>11381.315652943511</v>
      </c>
      <c r="H312">
        <f t="shared" si="37"/>
        <v>15901.456038087097</v>
      </c>
      <c r="I312">
        <f t="shared" si="38"/>
        <v>34959.053315836056</v>
      </c>
      <c r="J312">
        <f t="shared" si="39"/>
        <v>19457.680593279823</v>
      </c>
      <c r="K312">
        <f t="shared" si="40"/>
        <v>31135.89159825434</v>
      </c>
      <c r="L312" s="42">
        <f t="shared" si="41"/>
        <v>26806.994182941231</v>
      </c>
    </row>
    <row r="313" spans="2:12">
      <c r="B313" s="42">
        <v>0.18617206335642569</v>
      </c>
      <c r="C313" s="42">
        <v>57607.959227271342</v>
      </c>
      <c r="D313" s="42">
        <v>453.90026551103244</v>
      </c>
      <c r="E313" s="42">
        <v>325.94347972045045</v>
      </c>
      <c r="F313">
        <f t="shared" si="35"/>
        <v>-57607.959227271342</v>
      </c>
      <c r="G313">
        <f t="shared" si="36"/>
        <v>7311.4404736472679</v>
      </c>
      <c r="H313">
        <f t="shared" si="37"/>
        <v>10382.403332621234</v>
      </c>
      <c r="I313">
        <f t="shared" si="38"/>
        <v>25708.673360393081</v>
      </c>
      <c r="J313">
        <f t="shared" si="39"/>
        <v>14119.944456312753</v>
      </c>
      <c r="K313">
        <f t="shared" si="40"/>
        <v>25242.840662862029</v>
      </c>
      <c r="L313" s="42">
        <f t="shared" si="41"/>
        <v>-10778.577485203679</v>
      </c>
    </row>
    <row r="314" spans="2:12">
      <c r="B314" s="42">
        <v>0.1403790398876919</v>
      </c>
      <c r="C314" s="42">
        <v>58341.013824884794</v>
      </c>
      <c r="D314" s="42">
        <v>545.08346812341688</v>
      </c>
      <c r="E314" s="42">
        <v>365.45121616260263</v>
      </c>
      <c r="F314">
        <f t="shared" si="35"/>
        <v>-58341.013824884794</v>
      </c>
      <c r="G314">
        <f t="shared" si="36"/>
        <v>10624.828943754388</v>
      </c>
      <c r="H314">
        <f t="shared" si="37"/>
        <v>14936.002990813933</v>
      </c>
      <c r="I314">
        <f t="shared" si="38"/>
        <v>33964.430677205732</v>
      </c>
      <c r="J314">
        <f t="shared" si="39"/>
        <v>18801.080965605641</v>
      </c>
      <c r="K314">
        <f t="shared" si="40"/>
        <v>30738.467360454117</v>
      </c>
      <c r="L314" s="42">
        <f t="shared" si="41"/>
        <v>12418.255221428915</v>
      </c>
    </row>
    <row r="315" spans="2:12">
      <c r="B315" s="42">
        <v>0.13791009247108371</v>
      </c>
      <c r="C315" s="42">
        <v>56191.442609942933</v>
      </c>
      <c r="D315" s="42">
        <v>481.49815363017672</v>
      </c>
      <c r="E315" s="42">
        <v>328.17896053956724</v>
      </c>
      <c r="F315">
        <f t="shared" si="35"/>
        <v>-56191.442609942933</v>
      </c>
      <c r="G315">
        <f t="shared" si="36"/>
        <v>9092.0520645771685</v>
      </c>
      <c r="H315">
        <f t="shared" si="37"/>
        <v>12771.712698751795</v>
      </c>
      <c r="I315">
        <f t="shared" si="38"/>
        <v>29451.823480941192</v>
      </c>
      <c r="J315">
        <f t="shared" si="39"/>
        <v>16314.524369029821</v>
      </c>
      <c r="K315">
        <f t="shared" si="40"/>
        <v>27528.384044923245</v>
      </c>
      <c r="L315" s="42">
        <f t="shared" si="41"/>
        <v>5810.9385041136029</v>
      </c>
    </row>
    <row r="316" spans="2:12">
      <c r="B316" s="42">
        <v>0.12202215643787959</v>
      </c>
      <c r="C316" s="42">
        <v>59559.160130619217</v>
      </c>
      <c r="D316" s="42">
        <v>523.96465956602674</v>
      </c>
      <c r="E316" s="42">
        <v>323.75988036744286</v>
      </c>
      <c r="F316">
        <f t="shared" si="35"/>
        <v>-59559.160130619217</v>
      </c>
      <c r="G316">
        <f t="shared" si="36"/>
        <v>12460.700399792473</v>
      </c>
      <c r="H316">
        <f t="shared" si="37"/>
        <v>17265.615100558476</v>
      </c>
      <c r="I316">
        <f t="shared" si="38"/>
        <v>36217.575609607222</v>
      </c>
      <c r="J316">
        <f t="shared" si="39"/>
        <v>20320.17029328287</v>
      </c>
      <c r="K316">
        <f t="shared" si="40"/>
        <v>31548.257698294008</v>
      </c>
      <c r="L316" s="42">
        <f t="shared" si="41"/>
        <v>21462.303217956422</v>
      </c>
    </row>
    <row r="317" spans="2:12">
      <c r="B317" s="42">
        <v>0.11803338724936675</v>
      </c>
      <c r="C317" s="42">
        <v>57112.643818475903</v>
      </c>
      <c r="D317" s="42">
        <v>546.65517136143069</v>
      </c>
      <c r="E317" s="42">
        <v>328.16217535935544</v>
      </c>
      <c r="F317">
        <f t="shared" si="35"/>
        <v>-57112.643818475903</v>
      </c>
      <c r="G317">
        <f t="shared" si="36"/>
        <v>13719.543137913142</v>
      </c>
      <c r="H317">
        <f t="shared" si="37"/>
        <v>18963.37504196295</v>
      </c>
      <c r="I317">
        <f t="shared" si="38"/>
        <v>38966.89657277138</v>
      </c>
      <c r="J317">
        <f t="shared" si="39"/>
        <v>21919.370708334602</v>
      </c>
      <c r="K317">
        <f t="shared" si="40"/>
        <v>33263.275856807151</v>
      </c>
      <c r="L317" s="42">
        <f t="shared" si="41"/>
        <v>31281.18687927015</v>
      </c>
    </row>
    <row r="318" spans="2:12">
      <c r="B318" s="42">
        <v>0.19953306680501726</v>
      </c>
      <c r="C318" s="42">
        <v>55791.650135807366</v>
      </c>
      <c r="D318" s="42">
        <v>462.66823328348642</v>
      </c>
      <c r="E318" s="42">
        <v>339.15189062166206</v>
      </c>
      <c r="F318">
        <f t="shared" si="35"/>
        <v>-55791.650135807366</v>
      </c>
      <c r="G318">
        <f t="shared" si="36"/>
        <v>6877.2933133945699</v>
      </c>
      <c r="H318">
        <f t="shared" si="37"/>
        <v>9841.6855372783575</v>
      </c>
      <c r="I318">
        <f t="shared" si="38"/>
        <v>25298.120059816269</v>
      </c>
      <c r="J318">
        <f t="shared" si="39"/>
        <v>13817.316812646866</v>
      </c>
      <c r="K318">
        <f t="shared" si="40"/>
        <v>25169.083529160431</v>
      </c>
      <c r="L318" s="42">
        <f t="shared" si="41"/>
        <v>-11752.879495887995</v>
      </c>
    </row>
    <row r="319" spans="2:12">
      <c r="B319" s="42">
        <v>0.15263832514419998</v>
      </c>
      <c r="C319" s="42">
        <v>59574.571977904598</v>
      </c>
      <c r="D319" s="42">
        <v>509.38291573839535</v>
      </c>
      <c r="E319" s="42">
        <v>365.7106234931486</v>
      </c>
      <c r="F319">
        <f t="shared" si="35"/>
        <v>-59574.571977904598</v>
      </c>
      <c r="G319">
        <f t="shared" si="36"/>
        <v>8069.3371379741839</v>
      </c>
      <c r="H319">
        <f t="shared" si="37"/>
        <v>11517.472151860105</v>
      </c>
      <c r="I319">
        <f t="shared" si="38"/>
        <v>28718.945890682699</v>
      </c>
      <c r="J319">
        <f t="shared" si="39"/>
        <v>15710.080874050114</v>
      </c>
      <c r="K319">
        <f t="shared" si="40"/>
        <v>27580.216681417282</v>
      </c>
      <c r="L319" s="42">
        <f t="shared" si="41"/>
        <v>-2694.6171822541492</v>
      </c>
    </row>
    <row r="320" spans="2:12">
      <c r="B320" s="42">
        <v>0.13192846461378827</v>
      </c>
      <c r="C320" s="42">
        <v>59208.960234382153</v>
      </c>
      <c r="D320" s="42">
        <v>493.88561662648397</v>
      </c>
      <c r="E320" s="42">
        <v>336.14123966185491</v>
      </c>
      <c r="F320">
        <f t="shared" si="35"/>
        <v>-59208.960234382153</v>
      </c>
      <c r="G320">
        <f t="shared" si="36"/>
        <v>9334.5796075319686</v>
      </c>
      <c r="H320">
        <f t="shared" si="37"/>
        <v>13120.444654683064</v>
      </c>
      <c r="I320">
        <f t="shared" si="38"/>
        <v>30241.221350749231</v>
      </c>
      <c r="J320">
        <f t="shared" si="39"/>
        <v>16742.863856929227</v>
      </c>
      <c r="K320">
        <f t="shared" si="40"/>
        <v>28108.894924771877</v>
      </c>
      <c r="L320" s="42">
        <f t="shared" si="41"/>
        <v>5455.424818085512</v>
      </c>
    </row>
    <row r="321" spans="2:12">
      <c r="B321" s="42">
        <v>0.13404339732047488</v>
      </c>
      <c r="C321" s="42">
        <v>57175.817133091223</v>
      </c>
      <c r="D321" s="42">
        <v>489.63438825647756</v>
      </c>
      <c r="E321" s="42">
        <v>363.47209082308422</v>
      </c>
      <c r="F321">
        <f t="shared" si="35"/>
        <v>-57175.817133091223</v>
      </c>
      <c r="G321">
        <f t="shared" si="36"/>
        <v>6846.2743003631713</v>
      </c>
      <c r="H321">
        <f t="shared" si="37"/>
        <v>9874.1694387646112</v>
      </c>
      <c r="I321">
        <f t="shared" si="38"/>
        <v>26122.193060090944</v>
      </c>
      <c r="J321">
        <f t="shared" si="39"/>
        <v>14190.790124210334</v>
      </c>
      <c r="K321">
        <f t="shared" si="40"/>
        <v>25985.612353892633</v>
      </c>
      <c r="L321" s="42">
        <f t="shared" si="41"/>
        <v>-3115.5472463267815</v>
      </c>
    </row>
    <row r="322" spans="2:12">
      <c r="B322" s="42">
        <v>0.19030732139042331</v>
      </c>
      <c r="C322" s="42">
        <v>58803.216650898772</v>
      </c>
      <c r="D322" s="42">
        <v>535.03372295297095</v>
      </c>
      <c r="E322" s="42">
        <v>323.78887295144506</v>
      </c>
      <c r="F322">
        <f t="shared" si="35"/>
        <v>-58803.216650898772</v>
      </c>
      <c r="G322">
        <f t="shared" si="36"/>
        <v>13244.284493545336</v>
      </c>
      <c r="H322">
        <f t="shared" si="37"/>
        <v>18314.160893581953</v>
      </c>
      <c r="I322">
        <f t="shared" si="38"/>
        <v>37829.947813348794</v>
      </c>
      <c r="J322">
        <f t="shared" si="39"/>
        <v>21269.790337839899</v>
      </c>
      <c r="K322">
        <f t="shared" si="40"/>
        <v>32520.47975096896</v>
      </c>
      <c r="L322" s="42">
        <f t="shared" si="41"/>
        <v>11886.938593829878</v>
      </c>
    </row>
    <row r="323" spans="2:12">
      <c r="B323" s="42">
        <v>0.13598742637409589</v>
      </c>
      <c r="C323" s="42">
        <v>55305.490279854734</v>
      </c>
      <c r="D323" s="42">
        <v>509.64232306894132</v>
      </c>
      <c r="E323" s="42">
        <v>366.37745292519912</v>
      </c>
      <c r="F323">
        <f t="shared" si="35"/>
        <v>-55305.490279854734</v>
      </c>
      <c r="G323">
        <f t="shared" si="36"/>
        <v>8034.4087038789057</v>
      </c>
      <c r="H323">
        <f t="shared" si="37"/>
        <v>11472.765587328715</v>
      </c>
      <c r="I323">
        <f t="shared" si="38"/>
        <v>28671.465193639946</v>
      </c>
      <c r="J323">
        <f t="shared" si="39"/>
        <v>15679.043549913024</v>
      </c>
      <c r="K323">
        <f t="shared" si="40"/>
        <v>27560.367442854091</v>
      </c>
      <c r="L323" s="42">
        <f t="shared" si="41"/>
        <v>4199.4424048580931</v>
      </c>
    </row>
    <row r="324" spans="2:12">
      <c r="B324" s="42">
        <v>0.19866634113589893</v>
      </c>
      <c r="C324" s="42">
        <v>58199.713126010924</v>
      </c>
      <c r="D324" s="42">
        <v>477.17673268837552</v>
      </c>
      <c r="E324" s="42">
        <v>341.59794915616322</v>
      </c>
      <c r="F324">
        <f t="shared" si="35"/>
        <v>-58199.713126010924</v>
      </c>
      <c r="G324">
        <f t="shared" si="36"/>
        <v>7711.7120883816051</v>
      </c>
      <c r="H324">
        <f t="shared" si="37"/>
        <v>10965.602893154697</v>
      </c>
      <c r="I324">
        <f t="shared" si="38"/>
        <v>27103.265480513932</v>
      </c>
      <c r="J324">
        <f t="shared" si="39"/>
        <v>14869.363078707236</v>
      </c>
      <c r="K324">
        <f t="shared" si="40"/>
        <v>26289.2837305826</v>
      </c>
      <c r="L324" s="42">
        <f t="shared" si="41"/>
        <v>-10570.26577888369</v>
      </c>
    </row>
    <row r="325" spans="2:12">
      <c r="B325" s="42">
        <v>0.13212683492538224</v>
      </c>
      <c r="C325" s="42">
        <v>57689.90142521439</v>
      </c>
      <c r="D325" s="42">
        <v>479.14822840052494</v>
      </c>
      <c r="E325" s="42">
        <v>361.15878780480364</v>
      </c>
      <c r="F325">
        <f t="shared" si="35"/>
        <v>-57689.90142521439</v>
      </c>
      <c r="G325">
        <f t="shared" si="36"/>
        <v>6286.8211920529802</v>
      </c>
      <c r="H325">
        <f t="shared" si="37"/>
        <v>9118.5677663502938</v>
      </c>
      <c r="I325">
        <f t="shared" si="38"/>
        <v>24887.316507461775</v>
      </c>
      <c r="J325">
        <f t="shared" si="39"/>
        <v>13474.044618060854</v>
      </c>
      <c r="K325">
        <f t="shared" si="40"/>
        <v>25210.881679738763</v>
      </c>
      <c r="L325" s="42">
        <f t="shared" si="41"/>
        <v>-6113.9229010727231</v>
      </c>
    </row>
    <row r="326" spans="2:12">
      <c r="B326" s="42">
        <v>0.15528122806482134</v>
      </c>
      <c r="C326" s="42">
        <v>55820.795312356946</v>
      </c>
      <c r="D326" s="42">
        <v>473.51756340220345</v>
      </c>
      <c r="E326" s="42">
        <v>329.27610095522937</v>
      </c>
      <c r="F326">
        <f t="shared" si="35"/>
        <v>-55820.795312356946</v>
      </c>
      <c r="G326">
        <f t="shared" si="36"/>
        <v>8437.6589251380974</v>
      </c>
      <c r="H326">
        <f t="shared" si="37"/>
        <v>11899.454023865474</v>
      </c>
      <c r="I326">
        <f t="shared" si="38"/>
        <v>28146.223334452345</v>
      </c>
      <c r="J326">
        <f t="shared" si="39"/>
        <v>15540.422376171147</v>
      </c>
      <c r="K326">
        <f t="shared" si="40"/>
        <v>26755.875118259224</v>
      </c>
      <c r="L326" s="42">
        <f t="shared" si="41"/>
        <v>377.37489759074015</v>
      </c>
    </row>
    <row r="327" spans="2:12">
      <c r="B327" s="42">
        <v>0.10108035523545031</v>
      </c>
      <c r="C327" s="42">
        <v>59119.541001617479</v>
      </c>
      <c r="D327" s="42">
        <v>497.52037110507524</v>
      </c>
      <c r="E327" s="42">
        <v>332.10211493270668</v>
      </c>
      <c r="F327">
        <f t="shared" si="35"/>
        <v>-59119.541001617479</v>
      </c>
      <c r="G327">
        <f t="shared" si="36"/>
        <v>9915.7771538438101</v>
      </c>
      <c r="H327">
        <f t="shared" si="37"/>
        <v>13885.815301980652</v>
      </c>
      <c r="I327">
        <f t="shared" si="38"/>
        <v>31288.90346995453</v>
      </c>
      <c r="J327">
        <f t="shared" si="39"/>
        <v>17378.582720419938</v>
      </c>
      <c r="K327">
        <f t="shared" si="40"/>
        <v>28687.257301553393</v>
      </c>
      <c r="L327" s="42">
        <f t="shared" si="41"/>
        <v>14326.620657243055</v>
      </c>
    </row>
    <row r="328" spans="2:12">
      <c r="B328" s="42">
        <v>0.11024201178014466</v>
      </c>
      <c r="C328" s="42">
        <v>55684.987945188754</v>
      </c>
      <c r="D328" s="42">
        <v>530.3094576860866</v>
      </c>
      <c r="E328" s="42">
        <v>364.36475722525711</v>
      </c>
      <c r="F328">
        <f t="shared" si="35"/>
        <v>-55684.987945188754</v>
      </c>
      <c r="G328">
        <f t="shared" si="36"/>
        <v>9662.7909176915782</v>
      </c>
      <c r="H328">
        <f t="shared" si="37"/>
        <v>13645.463728751489</v>
      </c>
      <c r="I328">
        <f t="shared" si="38"/>
        <v>31946.491897335734</v>
      </c>
      <c r="J328">
        <f t="shared" si="39"/>
        <v>17617.432782982876</v>
      </c>
      <c r="K328">
        <f t="shared" si="40"/>
        <v>29507.887813959169</v>
      </c>
      <c r="L328" s="42">
        <f t="shared" si="41"/>
        <v>16519.646475171779</v>
      </c>
    </row>
    <row r="329" spans="2:12">
      <c r="B329" s="42">
        <v>0.11607409894100773</v>
      </c>
      <c r="C329" s="42">
        <v>58889.889217810603</v>
      </c>
      <c r="D329" s="42">
        <v>489.18881801812802</v>
      </c>
      <c r="E329" s="42">
        <v>333.51054414502397</v>
      </c>
      <c r="F329">
        <f t="shared" si="35"/>
        <v>-58889.889217810603</v>
      </c>
      <c r="G329">
        <f t="shared" si="36"/>
        <v>9211.562547685171</v>
      </c>
      <c r="H329">
        <f t="shared" si="37"/>
        <v>12947.841120639665</v>
      </c>
      <c r="I329">
        <f t="shared" si="38"/>
        <v>29892.217780083622</v>
      </c>
      <c r="J329">
        <f t="shared" si="39"/>
        <v>16549.394817957091</v>
      </c>
      <c r="K329">
        <f t="shared" si="40"/>
        <v>27863.941160313734</v>
      </c>
      <c r="L329" s="42">
        <f t="shared" si="41"/>
        <v>8017.342754053805</v>
      </c>
    </row>
    <row r="330" spans="2:12">
      <c r="B330" s="42">
        <v>0.12962126529740289</v>
      </c>
      <c r="C330" s="42">
        <v>59621.875667592394</v>
      </c>
      <c r="D330" s="42">
        <v>475.91937009796442</v>
      </c>
      <c r="E330" s="42">
        <v>338.79329813531905</v>
      </c>
      <c r="F330">
        <f t="shared" si="35"/>
        <v>-59621.875667592394</v>
      </c>
      <c r="G330">
        <f t="shared" si="36"/>
        <v>7846.8114261299506</v>
      </c>
      <c r="H330">
        <f t="shared" si="37"/>
        <v>11137.83715323344</v>
      </c>
      <c r="I330">
        <f t="shared" si="38"/>
        <v>27278.685872981965</v>
      </c>
      <c r="J330">
        <f t="shared" si="39"/>
        <v>14985.601977599417</v>
      </c>
      <c r="K330">
        <f t="shared" si="40"/>
        <v>26358.133487960447</v>
      </c>
      <c r="L330" s="42">
        <f t="shared" si="41"/>
        <v>-1489.116729586307</v>
      </c>
    </row>
    <row r="331" spans="2:12">
      <c r="B331" s="42">
        <v>0.15282448805200355</v>
      </c>
      <c r="C331" s="42">
        <v>56986.144596697901</v>
      </c>
      <c r="D331" s="42">
        <v>470.30091250343332</v>
      </c>
      <c r="E331" s="42">
        <v>328.20947904904324</v>
      </c>
      <c r="F331">
        <f t="shared" si="35"/>
        <v>-56986.144596697901</v>
      </c>
      <c r="G331">
        <f t="shared" si="36"/>
        <v>8294.6064638203079</v>
      </c>
      <c r="H331">
        <f t="shared" si="37"/>
        <v>11704.800866725671</v>
      </c>
      <c r="I331">
        <f t="shared" si="38"/>
        <v>27813.119907223729</v>
      </c>
      <c r="J331">
        <f t="shared" si="39"/>
        <v>15349.120151371808</v>
      </c>
      <c r="K331">
        <f t="shared" si="40"/>
        <v>26541.073641163362</v>
      </c>
      <c r="L331" s="42">
        <f t="shared" si="41"/>
        <v>-1105.4659923087147</v>
      </c>
    </row>
    <row r="332" spans="2:12">
      <c r="B332" s="42">
        <v>0.1707510605182043</v>
      </c>
      <c r="C332" s="42">
        <v>59183.629871517078</v>
      </c>
      <c r="D332" s="42">
        <v>539.40092165898614</v>
      </c>
      <c r="E332" s="42">
        <v>338.87112033448284</v>
      </c>
      <c r="F332">
        <f t="shared" si="35"/>
        <v>-59183.629871517078</v>
      </c>
      <c r="G332">
        <f t="shared" si="36"/>
        <v>12347.775811029391</v>
      </c>
      <c r="H332">
        <f t="shared" si="37"/>
        <v>17160.491042817466</v>
      </c>
      <c r="I332">
        <f t="shared" si="38"/>
        <v>36537.031159398175</v>
      </c>
      <c r="J332">
        <f t="shared" si="39"/>
        <v>20438.789635914181</v>
      </c>
      <c r="K332">
        <f t="shared" si="40"/>
        <v>31939.529404583878</v>
      </c>
      <c r="L332" s="42">
        <f t="shared" si="41"/>
        <v>12052.423402635239</v>
      </c>
    </row>
    <row r="333" spans="2:12">
      <c r="B333" s="42">
        <v>0.16722617267372664</v>
      </c>
      <c r="C333" s="42">
        <v>57544.022949919126</v>
      </c>
      <c r="D333" s="42">
        <v>477.45750297555469</v>
      </c>
      <c r="E333" s="42">
        <v>361.05197302163765</v>
      </c>
      <c r="F333">
        <f t="shared" si="35"/>
        <v>-57544.022949919126</v>
      </c>
      <c r="G333">
        <f t="shared" si="36"/>
        <v>6175.3248695333705</v>
      </c>
      <c r="H333">
        <f t="shared" si="37"/>
        <v>8969.0575884273785</v>
      </c>
      <c r="I333">
        <f t="shared" si="38"/>
        <v>24654.142887661365</v>
      </c>
      <c r="J333">
        <f t="shared" si="39"/>
        <v>13337.18741416669</v>
      </c>
      <c r="K333">
        <f t="shared" si="40"/>
        <v>25068.933988464003</v>
      </c>
      <c r="L333" s="42">
        <f t="shared" si="41"/>
        <v>-11410.884841861007</v>
      </c>
    </row>
    <row r="334" spans="2:12">
      <c r="B334" s="42">
        <v>0.13850520340586567</v>
      </c>
      <c r="C334" s="42">
        <v>58037.202063051242</v>
      </c>
      <c r="D334" s="42">
        <v>470.92959379863885</v>
      </c>
      <c r="E334" s="42">
        <v>334.33759575182347</v>
      </c>
      <c r="F334">
        <f t="shared" si="35"/>
        <v>-58037.202063051242</v>
      </c>
      <c r="G334">
        <f t="shared" si="36"/>
        <v>7848.9934995574804</v>
      </c>
      <c r="H334">
        <f t="shared" si="37"/>
        <v>11127.201452681049</v>
      </c>
      <c r="I334">
        <f t="shared" si="38"/>
        <v>27120.50843836787</v>
      </c>
      <c r="J334">
        <f t="shared" si="39"/>
        <v>14912.937406537063</v>
      </c>
      <c r="K334">
        <f t="shared" si="40"/>
        <v>26204.198126163516</v>
      </c>
      <c r="L334" s="42">
        <f t="shared" si="41"/>
        <v>-1605.4573270463643</v>
      </c>
    </row>
    <row r="335" spans="2:12">
      <c r="B335" s="42">
        <v>0.15812250129703667</v>
      </c>
      <c r="C335" s="42">
        <v>56614.734336375011</v>
      </c>
      <c r="D335" s="42">
        <v>486.47877437665943</v>
      </c>
      <c r="E335" s="42">
        <v>363.04025391399887</v>
      </c>
      <c r="F335">
        <f t="shared" si="35"/>
        <v>-56614.734336375011</v>
      </c>
      <c r="G335">
        <f t="shared" si="36"/>
        <v>6656.7726676229095</v>
      </c>
      <c r="H335">
        <f t="shared" si="37"/>
        <v>9619.2971587267675</v>
      </c>
      <c r="I335">
        <f t="shared" si="38"/>
        <v>25716.748558000421</v>
      </c>
      <c r="J335">
        <f t="shared" si="39"/>
        <v>13953.954283272802</v>
      </c>
      <c r="K335">
        <f t="shared" si="40"/>
        <v>25735.555894650101</v>
      </c>
      <c r="L335" s="42">
        <f t="shared" si="41"/>
        <v>-7029.6238128105215</v>
      </c>
    </row>
    <row r="336" spans="2:12">
      <c r="B336" s="42">
        <v>0.10216986602374341</v>
      </c>
      <c r="C336" s="42">
        <v>58113.803521835995</v>
      </c>
      <c r="D336" s="42">
        <v>545.23606067079686</v>
      </c>
      <c r="E336" s="42">
        <v>352.13599047822504</v>
      </c>
      <c r="F336">
        <f t="shared" si="35"/>
        <v>-58113.803521835995</v>
      </c>
      <c r="G336">
        <f t="shared" si="36"/>
        <v>11700.881069368575</v>
      </c>
      <c r="H336">
        <f t="shared" si="37"/>
        <v>16335.282753990294</v>
      </c>
      <c r="I336">
        <f t="shared" si="38"/>
        <v>35691.058076723537</v>
      </c>
      <c r="J336">
        <f t="shared" si="39"/>
        <v>19879.421979430525</v>
      </c>
      <c r="K336">
        <f t="shared" si="40"/>
        <v>31604.069948423719</v>
      </c>
      <c r="L336" s="42">
        <f t="shared" si="41"/>
        <v>25509.241757805357</v>
      </c>
    </row>
    <row r="337" spans="2:12">
      <c r="B337" s="42">
        <v>0.10150761436811427</v>
      </c>
      <c r="C337" s="42">
        <v>58771.324808496356</v>
      </c>
      <c r="D337" s="42">
        <v>522.83242286446728</v>
      </c>
      <c r="E337" s="42">
        <v>321.62053285317546</v>
      </c>
      <c r="F337">
        <f t="shared" si="35"/>
        <v>-58771.324808496356</v>
      </c>
      <c r="G337">
        <f t="shared" si="36"/>
        <v>12551.459395123136</v>
      </c>
      <c r="H337">
        <f t="shared" si="37"/>
        <v>17380.544755394141</v>
      </c>
      <c r="I337">
        <f t="shared" si="38"/>
        <v>36326.105533005764</v>
      </c>
      <c r="J337">
        <f t="shared" si="39"/>
        <v>20393.945738090148</v>
      </c>
      <c r="K337">
        <f t="shared" si="40"/>
        <v>31585.539109469893</v>
      </c>
      <c r="L337" s="42">
        <f t="shared" si="41"/>
        <v>27460.223774557002</v>
      </c>
    </row>
    <row r="338" spans="2:12">
      <c r="B338" s="42">
        <v>0.13848384044923245</v>
      </c>
      <c r="C338" s="42">
        <v>55300.454725791191</v>
      </c>
      <c r="D338" s="42">
        <v>468.25617236854151</v>
      </c>
      <c r="E338" s="42">
        <v>340.71138645588547</v>
      </c>
      <c r="F338">
        <f t="shared" si="35"/>
        <v>-55300.454725791191</v>
      </c>
      <c r="G338">
        <f t="shared" si="36"/>
        <v>7149.2773216956111</v>
      </c>
      <c r="H338">
        <f t="shared" si="37"/>
        <v>10210.352183599356</v>
      </c>
      <c r="I338">
        <f t="shared" si="38"/>
        <v>25914.343699453719</v>
      </c>
      <c r="J338">
        <f t="shared" si="39"/>
        <v>14173.119907223734</v>
      </c>
      <c r="K338">
        <f t="shared" si="40"/>
        <v>25561.014435254983</v>
      </c>
      <c r="L338" s="42">
        <f t="shared" si="41"/>
        <v>-1781.2747542498928</v>
      </c>
    </row>
    <row r="339" spans="2:12">
      <c r="B339" s="42">
        <v>0.18427991576891387</v>
      </c>
      <c r="C339" s="42">
        <v>59581.591235084081</v>
      </c>
      <c r="D339" s="42">
        <v>527.92596209601118</v>
      </c>
      <c r="E339" s="42">
        <v>362.19641712698751</v>
      </c>
      <c r="F339">
        <f t="shared" si="35"/>
        <v>-59581.591235084081</v>
      </c>
      <c r="G339">
        <f t="shared" si="36"/>
        <v>9667.0299386577917</v>
      </c>
      <c r="H339">
        <f t="shared" si="37"/>
        <v>13644.539017914365</v>
      </c>
      <c r="I339">
        <f t="shared" si="38"/>
        <v>31876.049073763228</v>
      </c>
      <c r="J339">
        <f t="shared" si="39"/>
        <v>17585.919370097963</v>
      </c>
      <c r="K339">
        <f t="shared" si="40"/>
        <v>29436.91396832178</v>
      </c>
      <c r="L339" s="42">
        <f t="shared" si="41"/>
        <v>-922.51366476493968</v>
      </c>
    </row>
    <row r="340" spans="2:12">
      <c r="B340" s="42">
        <v>0.14171880245368818</v>
      </c>
      <c r="C340" s="42">
        <v>57954.344309823908</v>
      </c>
      <c r="D340" s="42">
        <v>519.23734244819479</v>
      </c>
      <c r="E340" s="42">
        <v>352.26264229255042</v>
      </c>
      <c r="F340">
        <f t="shared" si="35"/>
        <v>-57954.344309823908</v>
      </c>
      <c r="G340">
        <f t="shared" si="36"/>
        <v>9844.839930417802</v>
      </c>
      <c r="H340">
        <f t="shared" si="37"/>
        <v>13852.232734153262</v>
      </c>
      <c r="I340">
        <f t="shared" si="38"/>
        <v>31879.033783989984</v>
      </c>
      <c r="J340">
        <f t="shared" si="39"/>
        <v>17633.400067140723</v>
      </c>
      <c r="K340">
        <f t="shared" si="40"/>
        <v>29308.077028717915</v>
      </c>
      <c r="L340" s="42">
        <f t="shared" si="41"/>
        <v>8200.7835442457545</v>
      </c>
    </row>
    <row r="341" spans="2:12">
      <c r="B341" s="42">
        <v>0.13996704000976593</v>
      </c>
      <c r="C341" s="42">
        <v>58482.161931211282</v>
      </c>
      <c r="D341" s="42">
        <v>509.89867854853969</v>
      </c>
      <c r="E341" s="42">
        <v>321.11697744682152</v>
      </c>
      <c r="F341">
        <f t="shared" si="35"/>
        <v>-58482.161931211282</v>
      </c>
      <c r="G341">
        <f t="shared" si="36"/>
        <v>11673.447981200597</v>
      </c>
      <c r="H341">
        <f t="shared" si="37"/>
        <v>16204.208807641837</v>
      </c>
      <c r="I341">
        <f t="shared" si="38"/>
        <v>34502.233954893643</v>
      </c>
      <c r="J341">
        <f t="shared" si="39"/>
        <v>19321.928159428695</v>
      </c>
      <c r="K341">
        <f t="shared" si="40"/>
        <v>30479.597155674914</v>
      </c>
      <c r="L341" s="42">
        <f t="shared" si="41"/>
        <v>14791.271532997245</v>
      </c>
    </row>
    <row r="342" spans="2:12">
      <c r="B342" s="42">
        <v>0.11843012787255471</v>
      </c>
      <c r="C342" s="42">
        <v>59019.745475630967</v>
      </c>
      <c r="D342" s="42">
        <v>467.5176244392224</v>
      </c>
      <c r="E342" s="42">
        <v>364.55549790948209</v>
      </c>
      <c r="F342">
        <f t="shared" si="35"/>
        <v>-59019.745475630967</v>
      </c>
      <c r="G342">
        <f t="shared" si="36"/>
        <v>5189.3115024262233</v>
      </c>
      <c r="H342">
        <f t="shared" si="37"/>
        <v>7660.4025391399909</v>
      </c>
      <c r="I342">
        <f t="shared" si="38"/>
        <v>22754.469435712766</v>
      </c>
      <c r="J342">
        <f t="shared" si="39"/>
        <v>12202.075869014559</v>
      </c>
      <c r="K342">
        <f t="shared" si="40"/>
        <v>23969.999084444717</v>
      </c>
      <c r="L342" s="42">
        <f t="shared" si="41"/>
        <v>-10496.252091524311</v>
      </c>
    </row>
    <row r="343" spans="2:12">
      <c r="B343" s="42">
        <v>0.15866878261665701</v>
      </c>
      <c r="C343" s="42">
        <v>59085.055085909604</v>
      </c>
      <c r="D343" s="42">
        <v>485.68834498123113</v>
      </c>
      <c r="E343" s="42">
        <v>357.74681844538713</v>
      </c>
      <c r="F343">
        <f t="shared" si="35"/>
        <v>-59085.055085909604</v>
      </c>
      <c r="G343">
        <f t="shared" si="36"/>
        <v>7024.1270180364399</v>
      </c>
      <c r="H343">
        <f t="shared" si="37"/>
        <v>10094.723654896694</v>
      </c>
      <c r="I343">
        <f t="shared" si="38"/>
        <v>26278.905606250191</v>
      </c>
      <c r="J343">
        <f t="shared" si="39"/>
        <v>14309.452192754905</v>
      </c>
      <c r="K343">
        <f t="shared" si="40"/>
        <v>26004.777977843565</v>
      </c>
      <c r="L343" s="42">
        <f t="shared" si="41"/>
        <v>-8217.7983088787423</v>
      </c>
    </row>
    <row r="344" spans="2:12">
      <c r="B344" s="42">
        <v>0.17527695547349467</v>
      </c>
      <c r="C344" s="42">
        <v>55029.45036164434</v>
      </c>
      <c r="D344" s="42">
        <v>468.58272041993467</v>
      </c>
      <c r="E344" s="42">
        <v>362.12775048066652</v>
      </c>
      <c r="F344">
        <f t="shared" si="35"/>
        <v>-55029.45036164434</v>
      </c>
      <c r="G344">
        <f t="shared" si="36"/>
        <v>5459.1531113620413</v>
      </c>
      <c r="H344">
        <f t="shared" si="37"/>
        <v>8014.072389904476</v>
      </c>
      <c r="I344">
        <f t="shared" si="38"/>
        <v>23220.725119785147</v>
      </c>
      <c r="J344">
        <f t="shared" si="39"/>
        <v>12487.89391766106</v>
      </c>
      <c r="K344">
        <f t="shared" si="40"/>
        <v>24219.103366191594</v>
      </c>
      <c r="L344" s="42">
        <f t="shared" si="41"/>
        <v>-12932.494561462649</v>
      </c>
    </row>
    <row r="345" spans="2:12">
      <c r="B345" s="42">
        <v>0.1708792382580035</v>
      </c>
      <c r="C345" s="42">
        <v>56445.05142368847</v>
      </c>
      <c r="D345" s="42">
        <v>526.17725150303659</v>
      </c>
      <c r="E345" s="42">
        <v>358.72188482314522</v>
      </c>
      <c r="F345">
        <f t="shared" si="35"/>
        <v>-56445.05142368847</v>
      </c>
      <c r="G345">
        <f t="shared" si="36"/>
        <v>9820.8340708639807</v>
      </c>
      <c r="H345">
        <f t="shared" si="37"/>
        <v>13839.762871181374</v>
      </c>
      <c r="I345">
        <f t="shared" si="38"/>
        <v>32065.477462080751</v>
      </c>
      <c r="J345">
        <f t="shared" si="39"/>
        <v>17713.492843409531</v>
      </c>
      <c r="K345">
        <f t="shared" si="40"/>
        <v>29505.397503585926</v>
      </c>
      <c r="L345" s="42">
        <f t="shared" si="41"/>
        <v>4844.881934637624</v>
      </c>
    </row>
    <row r="346" spans="2:12">
      <c r="B346" s="42">
        <v>0.12567217017120885</v>
      </c>
      <c r="C346" s="42">
        <v>57774.895474105047</v>
      </c>
      <c r="D346" s="42">
        <v>529.04293954283276</v>
      </c>
      <c r="E346" s="42">
        <v>329.93835261085849</v>
      </c>
      <c r="F346">
        <f t="shared" si="35"/>
        <v>-57774.895474105047</v>
      </c>
      <c r="G346">
        <f t="shared" si="36"/>
        <v>12326.980498672443</v>
      </c>
      <c r="H346">
        <f t="shared" si="37"/>
        <v>17105.490585039835</v>
      </c>
      <c r="I346">
        <f t="shared" si="38"/>
        <v>36168.160039063696</v>
      </c>
      <c r="J346">
        <f t="shared" si="39"/>
        <v>20262.624591814936</v>
      </c>
      <c r="K346">
        <f t="shared" si="40"/>
        <v>31599.724112674339</v>
      </c>
      <c r="L346" s="42">
        <f t="shared" si="41"/>
        <v>22134.746975594746</v>
      </c>
    </row>
    <row r="347" spans="2:12">
      <c r="B347" s="42">
        <v>0.15283364360484636</v>
      </c>
      <c r="C347" s="42">
        <v>58324.076052125616</v>
      </c>
      <c r="D347" s="42">
        <v>460.06195257423627</v>
      </c>
      <c r="E347" s="42">
        <v>337.65648365733819</v>
      </c>
      <c r="F347">
        <f t="shared" si="35"/>
        <v>-58324.076052125616</v>
      </c>
      <c r="G347">
        <f t="shared" si="36"/>
        <v>6811.8799401837196</v>
      </c>
      <c r="H347">
        <f t="shared" si="37"/>
        <v>9749.6111941892777</v>
      </c>
      <c r="I347">
        <f t="shared" si="38"/>
        <v>25109.015167699206</v>
      </c>
      <c r="J347">
        <f t="shared" si="39"/>
        <v>13712.809228797265</v>
      </c>
      <c r="K347">
        <f t="shared" si="40"/>
        <v>25035.436872463149</v>
      </c>
      <c r="L347" s="42">
        <f t="shared" si="41"/>
        <v>-8632.8528722346036</v>
      </c>
    </row>
    <row r="348" spans="2:12">
      <c r="B348" s="42">
        <v>0.19763481551561024</v>
      </c>
      <c r="C348" s="42">
        <v>56919.0038758507</v>
      </c>
      <c r="D348" s="42">
        <v>498.50001525925472</v>
      </c>
      <c r="E348" s="42">
        <v>362.2849208044679</v>
      </c>
      <c r="F348">
        <f t="shared" si="35"/>
        <v>-56919.0038758507</v>
      </c>
      <c r="G348">
        <f t="shared" si="36"/>
        <v>7570.7074190496533</v>
      </c>
      <c r="H348">
        <f t="shared" si="37"/>
        <v>10839.869685964537</v>
      </c>
      <c r="I348">
        <f t="shared" si="38"/>
        <v>27568.532364879298</v>
      </c>
      <c r="J348">
        <f t="shared" si="39"/>
        <v>15048.207647938474</v>
      </c>
      <c r="K348">
        <f t="shared" si="40"/>
        <v>26841.76641132847</v>
      </c>
      <c r="L348" s="42">
        <f t="shared" si="41"/>
        <v>-8782.8687446499334</v>
      </c>
    </row>
    <row r="349" spans="2:12">
      <c r="B349" s="42">
        <v>0.13160191656239509</v>
      </c>
      <c r="C349" s="42">
        <v>59978.026673177279</v>
      </c>
      <c r="D349" s="42">
        <v>487.67815179906614</v>
      </c>
      <c r="E349" s="42">
        <v>334.38947721793267</v>
      </c>
      <c r="F349">
        <f t="shared" si="35"/>
        <v>-59978.026673177279</v>
      </c>
      <c r="G349">
        <f t="shared" si="36"/>
        <v>9033.9906002990811</v>
      </c>
      <c r="H349">
        <f t="shared" si="37"/>
        <v>12712.918790246287</v>
      </c>
      <c r="I349">
        <f t="shared" si="38"/>
        <v>29559.157078768272</v>
      </c>
      <c r="J349">
        <f t="shared" si="39"/>
        <v>16349.162877285075</v>
      </c>
      <c r="K349">
        <f t="shared" si="40"/>
        <v>27674.750816370128</v>
      </c>
      <c r="L349" s="42">
        <f t="shared" si="41"/>
        <v>3217.6682354387194</v>
      </c>
    </row>
    <row r="350" spans="2:12">
      <c r="B350" s="42">
        <v>0.13294778283028658</v>
      </c>
      <c r="C350" s="42">
        <v>59341.715750602743</v>
      </c>
      <c r="D350" s="42">
        <v>459.74456007568591</v>
      </c>
      <c r="E350" s="42">
        <v>337.11325418866545</v>
      </c>
      <c r="F350">
        <f t="shared" si="35"/>
        <v>-59341.715750602743</v>
      </c>
      <c r="G350">
        <f t="shared" si="36"/>
        <v>6832.8034302804626</v>
      </c>
      <c r="H350">
        <f t="shared" si="37"/>
        <v>9775.954771568955</v>
      </c>
      <c r="I350">
        <f t="shared" si="38"/>
        <v>25132.209234900962</v>
      </c>
      <c r="J350">
        <f t="shared" si="39"/>
        <v>13728.971831415753</v>
      </c>
      <c r="K350">
        <f t="shared" si="40"/>
        <v>25042.273018585773</v>
      </c>
      <c r="L350" s="42">
        <f t="shared" si="41"/>
        <v>-6663.2419630150125</v>
      </c>
    </row>
    <row r="351" spans="2:12">
      <c r="B351" s="42">
        <v>0.14412671285134435</v>
      </c>
      <c r="C351" s="42">
        <v>59502.395702993868</v>
      </c>
      <c r="D351" s="42">
        <v>515.52323984496593</v>
      </c>
      <c r="E351" s="42">
        <v>325.80614642780847</v>
      </c>
      <c r="F351">
        <f t="shared" si="35"/>
        <v>-59502.395702993868</v>
      </c>
      <c r="G351">
        <f t="shared" si="36"/>
        <v>11697.658314767905</v>
      </c>
      <c r="H351">
        <f t="shared" si="37"/>
        <v>16250.868556779678</v>
      </c>
      <c r="I351">
        <f t="shared" si="38"/>
        <v>34723.206274605545</v>
      </c>
      <c r="J351">
        <f t="shared" si="39"/>
        <v>19430.50691244239</v>
      </c>
      <c r="K351">
        <f t="shared" si="40"/>
        <v>30674.451734977258</v>
      </c>
      <c r="L351" s="42">
        <f t="shared" si="41"/>
        <v>13306.095207550406</v>
      </c>
    </row>
    <row r="352" spans="2:12">
      <c r="B352" s="42">
        <v>0.14008606219672232</v>
      </c>
      <c r="C352" s="42">
        <v>58492.843409527879</v>
      </c>
      <c r="D352" s="42">
        <v>509.93835261085849</v>
      </c>
      <c r="E352" s="42">
        <v>332.19061861018707</v>
      </c>
      <c r="F352">
        <f t="shared" si="35"/>
        <v>-58492.843409527879</v>
      </c>
      <c r="G352">
        <f t="shared" si="36"/>
        <v>10790.373546555988</v>
      </c>
      <c r="H352">
        <f t="shared" si="37"/>
        <v>15056.319162572101</v>
      </c>
      <c r="I352">
        <f t="shared" si="38"/>
        <v>33090.600299081401</v>
      </c>
      <c r="J352">
        <f t="shared" si="39"/>
        <v>18439.448835718864</v>
      </c>
      <c r="K352">
        <f t="shared" si="40"/>
        <v>29774.375438703573</v>
      </c>
      <c r="L352" s="42">
        <f t="shared" si="41"/>
        <v>11257.816269897852</v>
      </c>
    </row>
    <row r="353" spans="2:12">
      <c r="B353" s="42">
        <v>0.1882778405102695</v>
      </c>
      <c r="C353" s="42">
        <v>58264.564958647417</v>
      </c>
      <c r="D353" s="42">
        <v>458.38343455305642</v>
      </c>
      <c r="E353" s="42">
        <v>331.45512253181556</v>
      </c>
      <c r="F353">
        <f t="shared" si="35"/>
        <v>-58264.564958647417</v>
      </c>
      <c r="G353">
        <f t="shared" si="36"/>
        <v>7188.8140507217604</v>
      </c>
      <c r="H353">
        <f t="shared" si="37"/>
        <v>10235.09353923154</v>
      </c>
      <c r="I353">
        <f t="shared" si="38"/>
        <v>25657.725760673842</v>
      </c>
      <c r="J353">
        <f t="shared" si="39"/>
        <v>14064.565569017606</v>
      </c>
      <c r="K353">
        <f t="shared" si="40"/>
        <v>25284.614398632766</v>
      </c>
      <c r="L353" s="42">
        <f t="shared" si="41"/>
        <v>-11947.354870230691</v>
      </c>
    </row>
    <row r="354" spans="2:12">
      <c r="B354" s="42">
        <v>0.11179845576342053</v>
      </c>
      <c r="C354" s="42">
        <v>59537.491988891263</v>
      </c>
      <c r="D354" s="42">
        <v>517.12240974150825</v>
      </c>
      <c r="E354" s="42">
        <v>345.96209601123081</v>
      </c>
      <c r="F354">
        <f t="shared" si="35"/>
        <v>-59537.491988891263</v>
      </c>
      <c r="G354">
        <f t="shared" si="36"/>
        <v>10198.72341074862</v>
      </c>
      <c r="H354">
        <f t="shared" si="37"/>
        <v>14306.57094027528</v>
      </c>
      <c r="I354">
        <f t="shared" si="38"/>
        <v>32376.72353282266</v>
      </c>
      <c r="J354">
        <f t="shared" si="39"/>
        <v>17955.559556871245</v>
      </c>
      <c r="K354">
        <f t="shared" si="40"/>
        <v>29525.197912533957</v>
      </c>
      <c r="L354" s="42">
        <f t="shared" si="41"/>
        <v>13900.611927580436</v>
      </c>
    </row>
    <row r="355" spans="2:12">
      <c r="B355" s="42">
        <v>0.15798821985534228</v>
      </c>
      <c r="C355" s="42">
        <v>58456.373790704063</v>
      </c>
      <c r="D355" s="42">
        <v>481.18076113162635</v>
      </c>
      <c r="E355" s="42">
        <v>337.88232062746056</v>
      </c>
      <c r="F355">
        <f t="shared" si="35"/>
        <v>-58456.373790704063</v>
      </c>
      <c r="G355">
        <f t="shared" si="36"/>
        <v>8293.2483901486266</v>
      </c>
      <c r="H355">
        <f t="shared" si="37"/>
        <v>11732.410962248607</v>
      </c>
      <c r="I355">
        <f t="shared" si="38"/>
        <v>28163.454084902492</v>
      </c>
      <c r="J355">
        <f t="shared" si="39"/>
        <v>15510.959807123021</v>
      </c>
      <c r="K355">
        <f t="shared" si="40"/>
        <v>26879.438459425641</v>
      </c>
      <c r="L355" s="42">
        <f t="shared" si="41"/>
        <v>-2872.3950332892418</v>
      </c>
    </row>
    <row r="356" spans="2:12">
      <c r="B356" s="42">
        <v>0.15602587969603565</v>
      </c>
      <c r="C356" s="42">
        <v>58572.038941618091</v>
      </c>
      <c r="D356" s="42">
        <v>460.72115237891779</v>
      </c>
      <c r="E356" s="42">
        <v>363.78490554521318</v>
      </c>
      <c r="F356">
        <f t="shared" si="35"/>
        <v>-58572.038941618091</v>
      </c>
      <c r="G356">
        <f t="shared" si="36"/>
        <v>4768.4093752861063</v>
      </c>
      <c r="H356">
        <f t="shared" si="37"/>
        <v>7094.879299295023</v>
      </c>
      <c r="I356">
        <f t="shared" si="38"/>
        <v>21860.820337534708</v>
      </c>
      <c r="J356">
        <f t="shared" si="39"/>
        <v>11679.226660969875</v>
      </c>
      <c r="K356">
        <f t="shared" si="40"/>
        <v>23421.227454451124</v>
      </c>
      <c r="L356" s="42">
        <f t="shared" si="41"/>
        <v>-17104.367616326068</v>
      </c>
    </row>
    <row r="357" spans="2:12">
      <c r="B357" s="42">
        <v>0.14150822473830379</v>
      </c>
      <c r="C357" s="42">
        <v>57295.754875331892</v>
      </c>
      <c r="D357" s="42">
        <v>479.33439130832852</v>
      </c>
      <c r="E357" s="42">
        <v>332.14026306955168</v>
      </c>
      <c r="F357">
        <f t="shared" si="35"/>
        <v>-57295.754875331892</v>
      </c>
      <c r="G357">
        <f t="shared" si="36"/>
        <v>8621.5207373271896</v>
      </c>
      <c r="H357">
        <f t="shared" si="37"/>
        <v>12154.179815057836</v>
      </c>
      <c r="I357">
        <f t="shared" si="38"/>
        <v>28628.867458113345</v>
      </c>
      <c r="J357">
        <f t="shared" si="39"/>
        <v>15811.536606952119</v>
      </c>
      <c r="K357">
        <f t="shared" si="40"/>
        <v>27084.449598681604</v>
      </c>
      <c r="L357" s="42">
        <f t="shared" si="41"/>
        <v>2118.1670562871423</v>
      </c>
    </row>
    <row r="358" spans="2:12">
      <c r="B358" s="42">
        <v>0.12805871761223184</v>
      </c>
      <c r="C358" s="42">
        <v>56695.455793939022</v>
      </c>
      <c r="D358" s="42">
        <v>484.5652638325144</v>
      </c>
      <c r="E358" s="42">
        <v>360.72847682119203</v>
      </c>
      <c r="F358">
        <f t="shared" si="35"/>
        <v>-56695.455793939022</v>
      </c>
      <c r="G358">
        <f t="shared" si="36"/>
        <v>6705.8555864131595</v>
      </c>
      <c r="H358">
        <f t="shared" si="37"/>
        <v>9677.9384746848991</v>
      </c>
      <c r="I358">
        <f t="shared" si="38"/>
        <v>25733.28348643452</v>
      </c>
      <c r="J358">
        <f t="shared" si="39"/>
        <v>13974.334543900875</v>
      </c>
      <c r="K358">
        <f t="shared" si="40"/>
        <v>25715.120700704974</v>
      </c>
      <c r="L358" s="42">
        <f t="shared" si="41"/>
        <v>-2511.2974906652526</v>
      </c>
    </row>
    <row r="359" spans="2:12">
      <c r="B359" s="42">
        <v>0.14405346842860195</v>
      </c>
      <c r="C359" s="42">
        <v>59910.885952330085</v>
      </c>
      <c r="D359" s="42">
        <v>537.38364818262278</v>
      </c>
      <c r="E359" s="42">
        <v>333.45103305154578</v>
      </c>
      <c r="F359">
        <f t="shared" si="35"/>
        <v>-59910.885952330085</v>
      </c>
      <c r="G359">
        <f t="shared" si="36"/>
        <v>12638.156376842555</v>
      </c>
      <c r="H359">
        <f t="shared" si="37"/>
        <v>17532.539139988403</v>
      </c>
      <c r="I359">
        <f t="shared" si="38"/>
        <v>36936.280404065066</v>
      </c>
      <c r="J359">
        <f t="shared" si="39"/>
        <v>20698.911099581896</v>
      </c>
      <c r="K359">
        <f t="shared" si="40"/>
        <v>32108.894924771877</v>
      </c>
      <c r="L359" s="42">
        <f t="shared" si="41"/>
        <v>17663.769613506338</v>
      </c>
    </row>
    <row r="360" spans="2:12">
      <c r="B360" s="42">
        <v>0.10520035401470992</v>
      </c>
      <c r="C360" s="42">
        <v>57213.812677388836</v>
      </c>
      <c r="D360" s="42">
        <v>468.28974272896511</v>
      </c>
      <c r="E360" s="42">
        <v>336.48915066988127</v>
      </c>
      <c r="F360">
        <f t="shared" si="35"/>
        <v>-57213.812677388836</v>
      </c>
      <c r="G360">
        <f t="shared" si="36"/>
        <v>7489.4396801660232</v>
      </c>
      <c r="H360">
        <f t="shared" si="37"/>
        <v>10652.653889584031</v>
      </c>
      <c r="I360">
        <f t="shared" si="38"/>
        <v>26459.691152684103</v>
      </c>
      <c r="J360">
        <f t="shared" si="39"/>
        <v>14513.785821100499</v>
      </c>
      <c r="K360">
        <f t="shared" si="40"/>
        <v>25834.191717276528</v>
      </c>
      <c r="L360" s="42">
        <f t="shared" si="41"/>
        <v>3279.1659172846248</v>
      </c>
    </row>
    <row r="361" spans="2:12">
      <c r="B361" s="42">
        <v>0.13612475966673787</v>
      </c>
      <c r="C361" s="42">
        <v>55436.262092959383</v>
      </c>
      <c r="D361" s="42">
        <v>472.86446729941707</v>
      </c>
      <c r="E361" s="42">
        <v>348.78505813776053</v>
      </c>
      <c r="F361">
        <f t="shared" si="35"/>
        <v>-55436.262092959383</v>
      </c>
      <c r="G361">
        <f t="shared" si="36"/>
        <v>6830.5725272377722</v>
      </c>
      <c r="H361">
        <f t="shared" si="37"/>
        <v>9808.4783471175251</v>
      </c>
      <c r="I361">
        <f t="shared" si="38"/>
        <v>25553.724784081547</v>
      </c>
      <c r="J361">
        <f t="shared" si="39"/>
        <v>13923.539536729026</v>
      </c>
      <c r="K361">
        <f t="shared" si="40"/>
        <v>25449.829401532028</v>
      </c>
      <c r="L361" s="42">
        <f t="shared" si="41"/>
        <v>-2598.3605913022548</v>
      </c>
    </row>
    <row r="362" spans="2:12">
      <c r="B362" s="42">
        <v>0.12500686666463209</v>
      </c>
      <c r="C362" s="42">
        <v>56761.680959501937</v>
      </c>
      <c r="D362" s="42">
        <v>521.08676412244029</v>
      </c>
      <c r="E362" s="42">
        <v>367.56157109286784</v>
      </c>
      <c r="F362">
        <f t="shared" si="35"/>
        <v>-56761.680959501937</v>
      </c>
      <c r="G362">
        <f t="shared" si="36"/>
        <v>8752.234565263836</v>
      </c>
      <c r="H362">
        <f t="shared" si="37"/>
        <v>12436.839197973575</v>
      </c>
      <c r="I362">
        <f t="shared" si="38"/>
        <v>30190.786461989199</v>
      </c>
      <c r="J362">
        <f t="shared" si="39"/>
        <v>16568.536027100439</v>
      </c>
      <c r="K362">
        <f t="shared" si="40"/>
        <v>28491.694692831203</v>
      </c>
      <c r="L362" s="42">
        <f t="shared" si="41"/>
        <v>8201.9069025280096</v>
      </c>
    </row>
    <row r="363" spans="2:12">
      <c r="B363" s="42">
        <v>0.1891415143284402</v>
      </c>
      <c r="C363" s="42">
        <v>58355.815301980649</v>
      </c>
      <c r="D363" s="42">
        <v>479.01699880977816</v>
      </c>
      <c r="E363" s="42">
        <v>359.55198828089237</v>
      </c>
      <c r="F363">
        <f t="shared" si="35"/>
        <v>-58355.815301980649</v>
      </c>
      <c r="G363">
        <f t="shared" si="36"/>
        <v>6406.0478530228593</v>
      </c>
      <c r="H363">
        <f t="shared" si="37"/>
        <v>9273.2081057161195</v>
      </c>
      <c r="I363">
        <f t="shared" si="38"/>
        <v>25073.827326273386</v>
      </c>
      <c r="J363">
        <f t="shared" si="39"/>
        <v>13591.302835169532</v>
      </c>
      <c r="K363">
        <f t="shared" si="40"/>
        <v>25302.168645283367</v>
      </c>
      <c r="L363" s="42">
        <f t="shared" si="41"/>
        <v>-14061.031881247098</v>
      </c>
    </row>
    <row r="364" spans="2:12">
      <c r="B364" s="42">
        <v>0.12720419934690391</v>
      </c>
      <c r="C364" s="42">
        <v>58621.173741874445</v>
      </c>
      <c r="D364" s="42">
        <v>482.17261268959624</v>
      </c>
      <c r="E364" s="42">
        <v>367.70958586382642</v>
      </c>
      <c r="F364">
        <f t="shared" si="35"/>
        <v>-58621.173741874445</v>
      </c>
      <c r="G364">
        <f t="shared" si="36"/>
        <v>5977.488631855219</v>
      </c>
      <c r="H364">
        <f t="shared" si="37"/>
        <v>8724.6012756736927</v>
      </c>
      <c r="I364">
        <f t="shared" si="38"/>
        <v>24490.374462111271</v>
      </c>
      <c r="J364">
        <f t="shared" si="39"/>
        <v>13210.07782219916</v>
      </c>
      <c r="K364">
        <f t="shared" si="40"/>
        <v>25057.776421399576</v>
      </c>
      <c r="L364" s="42">
        <f t="shared" si="41"/>
        <v>-7399.4663142668178</v>
      </c>
    </row>
    <row r="365" spans="2:12">
      <c r="B365" s="42">
        <v>0.10320444349497972</v>
      </c>
      <c r="C365" s="42">
        <v>59616.077150791956</v>
      </c>
      <c r="D365" s="42">
        <v>537.70409253212074</v>
      </c>
      <c r="E365" s="42">
        <v>328.61232337412639</v>
      </c>
      <c r="F365">
        <f t="shared" si="35"/>
        <v>-59616.077150791956</v>
      </c>
      <c r="G365">
        <f t="shared" si="36"/>
        <v>13048.004699850462</v>
      </c>
      <c r="H365">
        <f t="shared" si="37"/>
        <v>18066.207159642327</v>
      </c>
      <c r="I365">
        <f t="shared" si="38"/>
        <v>37602.420117801448</v>
      </c>
      <c r="J365">
        <f t="shared" si="39"/>
        <v>21113.566087832271</v>
      </c>
      <c r="K365">
        <f t="shared" si="40"/>
        <v>32446.771446882536</v>
      </c>
      <c r="L365" s="42">
        <f t="shared" si="41"/>
        <v>29171.230184787066</v>
      </c>
    </row>
    <row r="366" spans="2:12">
      <c r="B366" s="42">
        <v>0.1098483230079043</v>
      </c>
      <c r="C366" s="42">
        <v>59017.761772515034</v>
      </c>
      <c r="D366" s="42">
        <v>538.56471449934384</v>
      </c>
      <c r="E366" s="42">
        <v>351.47221289712212</v>
      </c>
      <c r="F366">
        <f t="shared" si="35"/>
        <v>-59017.761772515034</v>
      </c>
      <c r="G366">
        <f t="shared" si="36"/>
        <v>11280.317697683644</v>
      </c>
      <c r="H366">
        <f t="shared" si="37"/>
        <v>15770.537736136965</v>
      </c>
      <c r="I366">
        <f t="shared" si="38"/>
        <v>34802.005066072568</v>
      </c>
      <c r="J366">
        <f t="shared" si="39"/>
        <v>19358.7884151738</v>
      </c>
      <c r="K366">
        <f t="shared" si="40"/>
        <v>31059.47325052644</v>
      </c>
      <c r="L366" s="42">
        <f t="shared" si="41"/>
        <v>20610.747499114746</v>
      </c>
    </row>
    <row r="367" spans="2:12">
      <c r="B367" s="42">
        <v>0.12029480880153814</v>
      </c>
      <c r="C367" s="42">
        <v>59551.988280892358</v>
      </c>
      <c r="D367" s="42">
        <v>496.27826776940213</v>
      </c>
      <c r="E367" s="42">
        <v>356.09576708273568</v>
      </c>
      <c r="F367">
        <f t="shared" si="35"/>
        <v>-59551.988280892358</v>
      </c>
      <c r="G367">
        <f t="shared" si="36"/>
        <v>7908.0956450087006</v>
      </c>
      <c r="H367">
        <f t="shared" si="37"/>
        <v>11272.475661488694</v>
      </c>
      <c r="I367">
        <f t="shared" si="38"/>
        <v>28036.368907742544</v>
      </c>
      <c r="J367">
        <f t="shared" si="39"/>
        <v>15352.269661549733</v>
      </c>
      <c r="K367">
        <f t="shared" si="40"/>
        <v>27042.358470412306</v>
      </c>
      <c r="L367" s="42">
        <f t="shared" si="41"/>
        <v>1499.3167442800222</v>
      </c>
    </row>
    <row r="368" spans="2:12">
      <c r="B368" s="42">
        <v>0.14485305337687307</v>
      </c>
      <c r="C368" s="42">
        <v>59678.487502670367</v>
      </c>
      <c r="D368" s="42">
        <v>504.31379131443219</v>
      </c>
      <c r="E368" s="42">
        <v>327.87377544480728</v>
      </c>
      <c r="F368">
        <f t="shared" si="35"/>
        <v>-59678.487502670367</v>
      </c>
      <c r="G368">
        <f t="shared" si="36"/>
        <v>10736.377147740102</v>
      </c>
      <c r="H368">
        <f t="shared" si="37"/>
        <v>14970.937528611103</v>
      </c>
      <c r="I368">
        <f t="shared" si="38"/>
        <v>32821.970274971769</v>
      </c>
      <c r="J368">
        <f t="shared" si="39"/>
        <v>18301.084017456586</v>
      </c>
      <c r="K368">
        <f t="shared" si="40"/>
        <v>29555.692007202364</v>
      </c>
      <c r="L368" s="42">
        <f t="shared" si="41"/>
        <v>8675.853875021392</v>
      </c>
    </row>
    <row r="369" spans="2:12">
      <c r="B369" s="42">
        <v>0.11242103335673086</v>
      </c>
      <c r="C369" s="42">
        <v>57145.90899380474</v>
      </c>
      <c r="D369" s="42">
        <v>500.48371837519454</v>
      </c>
      <c r="E369" s="42">
        <v>364.84694967497785</v>
      </c>
      <c r="F369">
        <f t="shared" si="35"/>
        <v>-57145.90899380474</v>
      </c>
      <c r="G369">
        <f t="shared" si="36"/>
        <v>7506.5880306405825</v>
      </c>
      <c r="H369">
        <f t="shared" si="37"/>
        <v>10761.870479445784</v>
      </c>
      <c r="I369">
        <f t="shared" si="38"/>
        <v>27530.213324381239</v>
      </c>
      <c r="J369">
        <f t="shared" si="39"/>
        <v>15013.843806268502</v>
      </c>
      <c r="K369">
        <f t="shared" si="40"/>
        <v>26852.362437818534</v>
      </c>
      <c r="L369" s="42">
        <f t="shared" si="41"/>
        <v>3864.555538184708</v>
      </c>
    </row>
    <row r="370" spans="2:12">
      <c r="B370" s="42">
        <v>0.10916776024658956</v>
      </c>
      <c r="C370" s="42">
        <v>57428.357799005098</v>
      </c>
      <c r="D370" s="42">
        <v>509.67284157841732</v>
      </c>
      <c r="E370" s="42">
        <v>344.24237800225836</v>
      </c>
      <c r="F370">
        <f t="shared" si="35"/>
        <v>-57428.357799005098</v>
      </c>
      <c r="G370">
        <f t="shared" si="36"/>
        <v>9807.3815118869607</v>
      </c>
      <c r="H370">
        <f t="shared" si="37"/>
        <v>13777.712637714776</v>
      </c>
      <c r="I370">
        <f t="shared" si="38"/>
        <v>31509.210486159856</v>
      </c>
      <c r="J370">
        <f t="shared" si="39"/>
        <v>17452.474135563218</v>
      </c>
      <c r="K370">
        <f t="shared" si="40"/>
        <v>28979.697866756189</v>
      </c>
      <c r="L370" s="42">
        <f t="shared" si="41"/>
        <v>14497.688005498469</v>
      </c>
    </row>
    <row r="371" spans="2:12">
      <c r="B371" s="42">
        <v>0.10098879970702232</v>
      </c>
      <c r="C371" s="42">
        <v>57659.077730643636</v>
      </c>
      <c r="D371" s="42">
        <v>463.37321085238199</v>
      </c>
      <c r="E371" s="42">
        <v>368.39320047608874</v>
      </c>
      <c r="F371">
        <f t="shared" si="35"/>
        <v>-57659.077730643636</v>
      </c>
      <c r="G371">
        <f t="shared" si="36"/>
        <v>4588.0419324320201</v>
      </c>
      <c r="H371">
        <f t="shared" si="37"/>
        <v>6867.5621814630622</v>
      </c>
      <c r="I371">
        <f t="shared" si="38"/>
        <v>21658.159123508412</v>
      </c>
      <c r="J371">
        <f t="shared" si="39"/>
        <v>11538.64009521775</v>
      </c>
      <c r="K371">
        <f t="shared" si="40"/>
        <v>23359.677724539935</v>
      </c>
      <c r="L371" s="42">
        <f t="shared" si="41"/>
        <v>-9305.8235571773475</v>
      </c>
    </row>
    <row r="372" spans="2:12">
      <c r="B372" s="42">
        <v>0.1880916776024659</v>
      </c>
      <c r="C372" s="42">
        <v>59111.606189153725</v>
      </c>
      <c r="D372" s="42">
        <v>485.37400433362836</v>
      </c>
      <c r="E372" s="42">
        <v>334.1010773033845</v>
      </c>
      <c r="F372">
        <f t="shared" si="35"/>
        <v>-59111.606189153725</v>
      </c>
      <c r="G372">
        <f t="shared" si="36"/>
        <v>8893.4681234168547</v>
      </c>
      <c r="H372">
        <f t="shared" si="37"/>
        <v>12524.018372142711</v>
      </c>
      <c r="I372">
        <f t="shared" si="38"/>
        <v>29259.666737876523</v>
      </c>
      <c r="J372">
        <f t="shared" si="39"/>
        <v>16174.078188421281</v>
      </c>
      <c r="K372">
        <f t="shared" si="40"/>
        <v>27490.443433942688</v>
      </c>
      <c r="L372" s="42">
        <f t="shared" si="41"/>
        <v>-5576.5760027536598</v>
      </c>
    </row>
    <row r="373" spans="2:12">
      <c r="B373" s="42">
        <v>0.16287728507339702</v>
      </c>
      <c r="C373" s="42">
        <v>58160.344248786889</v>
      </c>
      <c r="D373" s="42">
        <v>539.35514389477214</v>
      </c>
      <c r="E373" s="42">
        <v>321.98370311593982</v>
      </c>
      <c r="F373">
        <f t="shared" si="35"/>
        <v>-58160.344248786889</v>
      </c>
      <c r="G373">
        <f t="shared" si="36"/>
        <v>13695.518967253636</v>
      </c>
      <c r="H373">
        <f t="shared" si="37"/>
        <v>18912.433545945612</v>
      </c>
      <c r="I373">
        <f t="shared" si="38"/>
        <v>38691.937009796435</v>
      </c>
      <c r="J373">
        <f t="shared" si="39"/>
        <v>21785.846125675216</v>
      </c>
      <c r="K373">
        <f t="shared" si="40"/>
        <v>33016.295663319797</v>
      </c>
      <c r="L373" s="42">
        <f t="shared" si="41"/>
        <v>19646.682222339557</v>
      </c>
    </row>
    <row r="374" spans="2:12">
      <c r="B374" s="42">
        <v>0.10891445661793879</v>
      </c>
      <c r="C374" s="42">
        <v>57614.215521713922</v>
      </c>
      <c r="D374" s="42">
        <v>459.59807123020113</v>
      </c>
      <c r="E374" s="42">
        <v>329.8422193060091</v>
      </c>
      <c r="F374">
        <f t="shared" ref="F374:F437" si="42">-C374</f>
        <v>-57614.215521713922</v>
      </c>
      <c r="G374">
        <f t="shared" ref="G374:G437" si="43">((D374-E374)*$E$14-$E$18-$E$20)*(1-0.2)+$E$20-0.3*($F$14*D374-$E$14*D374)</f>
        <v>7404.0855128635512</v>
      </c>
      <c r="H374">
        <f t="shared" ref="H374:H437" si="44">($F$14*(D374-E374)-$F$18-$F$20)*0.8+$F$20-0.3*($G$14*D374-$F$14*D374)</f>
        <v>10518.225959044163</v>
      </c>
      <c r="I374">
        <f t="shared" ref="I374:I437" si="45">($G$14*(D374-E374)-$G$18-$G$20)*0.8+$H$20-0.3*($H$14*D374-$G$14*D374)</f>
        <v>26041.5143284402</v>
      </c>
      <c r="J374">
        <f t="shared" ref="J374:J437" si="46">($H$14*(D374-E374)-$H$18-$H$20)*0.8+$H$20-0.3*($I$14*D374-$H$14*D374)</f>
        <v>14298.056581316569</v>
      </c>
      <c r="K374">
        <f t="shared" ref="K374:K437" si="47">($I$14*(D374-E374)-$I$18-$I$20)*0.8+$I$20+$I$14*D374*0.3+$I$31</f>
        <v>25494.728232673115</v>
      </c>
      <c r="L374" s="42">
        <f t="shared" ref="L374:L437" si="48">F374+G374/(1+B374)^1+H374/(1+B374)^2+I374/(1+B374)^3+J374/(1+B374)^4+K374/(1+B374)^5</f>
        <v>1373.1050712635151</v>
      </c>
    </row>
    <row r="375" spans="2:12">
      <c r="B375" s="42">
        <v>0.17362285225989563</v>
      </c>
      <c r="C375" s="42">
        <v>57989.593188268685</v>
      </c>
      <c r="D375" s="42">
        <v>475.90105899227882</v>
      </c>
      <c r="E375" s="42">
        <v>337.12851344340345</v>
      </c>
      <c r="F375">
        <f t="shared" si="42"/>
        <v>-57989.593188268685</v>
      </c>
      <c r="G375">
        <f t="shared" si="43"/>
        <v>7978.6941129795196</v>
      </c>
      <c r="H375">
        <f t="shared" si="44"/>
        <v>11309.235206152531</v>
      </c>
      <c r="I375">
        <f t="shared" si="45"/>
        <v>27489.104892117066</v>
      </c>
      <c r="J375">
        <f t="shared" si="46"/>
        <v>15117.209997863702</v>
      </c>
      <c r="K375">
        <f t="shared" si="47"/>
        <v>26463.068330942715</v>
      </c>
      <c r="L375" s="42">
        <f t="shared" si="48"/>
        <v>-6122.5911344435754</v>
      </c>
    </row>
    <row r="376" spans="2:12">
      <c r="B376" s="42">
        <v>0.17899410992767115</v>
      </c>
      <c r="C376" s="42">
        <v>57273.018585772268</v>
      </c>
      <c r="D376" s="42">
        <v>475.13504440443131</v>
      </c>
      <c r="E376" s="42">
        <v>361.52500991851559</v>
      </c>
      <c r="F376">
        <f t="shared" si="42"/>
        <v>-57273.018585772268</v>
      </c>
      <c r="G376">
        <f t="shared" si="43"/>
        <v>5972.5873592333746</v>
      </c>
      <c r="H376">
        <f t="shared" si="44"/>
        <v>8699.2281868953542</v>
      </c>
      <c r="I376">
        <f t="shared" si="45"/>
        <v>24254.515213476974</v>
      </c>
      <c r="J376">
        <f t="shared" si="46"/>
        <v>13099.613025299845</v>
      </c>
      <c r="K376">
        <f t="shared" si="47"/>
        <v>24834.283272804954</v>
      </c>
      <c r="L376" s="42">
        <f t="shared" si="48"/>
        <v>-13467.603937566288</v>
      </c>
    </row>
    <row r="377" spans="2:12">
      <c r="B377" s="42">
        <v>0.19053315836054568</v>
      </c>
      <c r="C377" s="42">
        <v>58682.210760826441</v>
      </c>
      <c r="D377" s="42">
        <v>545.26352732932526</v>
      </c>
      <c r="E377" s="42">
        <v>358.0458998382519</v>
      </c>
      <c r="F377">
        <f t="shared" si="42"/>
        <v>-58682.210760826441</v>
      </c>
      <c r="G377">
        <f t="shared" si="43"/>
        <v>11230.03845332194</v>
      </c>
      <c r="H377">
        <f t="shared" si="44"/>
        <v>15723.2615131077</v>
      </c>
      <c r="I377">
        <f t="shared" si="45"/>
        <v>34938.59981078525</v>
      </c>
      <c r="J377">
        <f t="shared" si="46"/>
        <v>19408.991363261819</v>
      </c>
      <c r="K377">
        <f t="shared" si="47"/>
        <v>31228.252815332504</v>
      </c>
      <c r="L377" s="42">
        <f t="shared" si="48"/>
        <v>5267.3524528330508</v>
      </c>
    </row>
    <row r="378" spans="2:12">
      <c r="B378" s="42">
        <v>0.14460585345011751</v>
      </c>
      <c r="C378" s="42">
        <v>59449.598681600393</v>
      </c>
      <c r="D378" s="42">
        <v>544.65315713980533</v>
      </c>
      <c r="E378" s="42">
        <v>358.94772179326759</v>
      </c>
      <c r="F378">
        <f t="shared" si="42"/>
        <v>-59449.598681600393</v>
      </c>
      <c r="G378">
        <f t="shared" si="43"/>
        <v>11114.556413464772</v>
      </c>
      <c r="H378">
        <f t="shared" si="44"/>
        <v>15571.486861781679</v>
      </c>
      <c r="I378">
        <f t="shared" si="45"/>
        <v>34734.052552873327</v>
      </c>
      <c r="J378">
        <f t="shared" si="46"/>
        <v>19284.353770561851</v>
      </c>
      <c r="K378">
        <f t="shared" si="47"/>
        <v>31116.823633533742</v>
      </c>
      <c r="L378" s="42">
        <f t="shared" si="48"/>
        <v>12382.67543180983</v>
      </c>
    </row>
    <row r="379" spans="2:12">
      <c r="B379" s="42">
        <v>0.15142063661610769</v>
      </c>
      <c r="C379" s="42">
        <v>55387.890255439925</v>
      </c>
      <c r="D379" s="42">
        <v>527.47428815576643</v>
      </c>
      <c r="E379" s="42">
        <v>361.09317300943025</v>
      </c>
      <c r="F379">
        <f t="shared" si="42"/>
        <v>-55387.890255439925</v>
      </c>
      <c r="G379">
        <f t="shared" si="43"/>
        <v>9723.2206183049966</v>
      </c>
      <c r="H379">
        <f t="shared" si="44"/>
        <v>13716.367381817068</v>
      </c>
      <c r="I379">
        <f t="shared" si="45"/>
        <v>31951.319925534826</v>
      </c>
      <c r="J379">
        <f t="shared" si="46"/>
        <v>17635.334940641493</v>
      </c>
      <c r="K379">
        <f t="shared" si="47"/>
        <v>29467.774285103907</v>
      </c>
      <c r="L379" s="42">
        <f t="shared" si="48"/>
        <v>8927.388314044194</v>
      </c>
    </row>
    <row r="380" spans="2:12">
      <c r="B380" s="42">
        <v>0.1685567796868801</v>
      </c>
      <c r="C380" s="42">
        <v>56551.866206854458</v>
      </c>
      <c r="D380" s="42">
        <v>455.11795403912475</v>
      </c>
      <c r="E380" s="42">
        <v>336.37012848292488</v>
      </c>
      <c r="F380">
        <f t="shared" si="42"/>
        <v>-56551.866206854458</v>
      </c>
      <c r="G380">
        <f t="shared" si="43"/>
        <v>6563.7644581438681</v>
      </c>
      <c r="H380">
        <f t="shared" si="44"/>
        <v>9413.7122714926627</v>
      </c>
      <c r="I380">
        <f t="shared" si="45"/>
        <v>24551.844843897827</v>
      </c>
      <c r="J380">
        <f t="shared" si="46"/>
        <v>13390.533768730738</v>
      </c>
      <c r="K380">
        <f t="shared" si="47"/>
        <v>24682.691732535786</v>
      </c>
      <c r="L380" s="42">
        <f t="shared" si="48"/>
        <v>-10145.754079099024</v>
      </c>
    </row>
    <row r="381" spans="2:12">
      <c r="B381" s="42">
        <v>0.12037415692617573</v>
      </c>
      <c r="C381" s="42">
        <v>59315.927610095525</v>
      </c>
      <c r="D381" s="42">
        <v>536.56270027771848</v>
      </c>
      <c r="E381" s="42">
        <v>351.6049684133427</v>
      </c>
      <c r="F381">
        <f t="shared" si="42"/>
        <v>-59315.927610095525</v>
      </c>
      <c r="G381">
        <f t="shared" si="43"/>
        <v>11127.554246650598</v>
      </c>
      <c r="H381">
        <f t="shared" si="44"/>
        <v>15566.539811395618</v>
      </c>
      <c r="I381">
        <f t="shared" si="45"/>
        <v>34492.718283639028</v>
      </c>
      <c r="J381">
        <f t="shared" si="46"/>
        <v>19175.994750816375</v>
      </c>
      <c r="K381">
        <f t="shared" si="47"/>
        <v>30874.799645985291</v>
      </c>
      <c r="L381" s="42">
        <f t="shared" si="48"/>
        <v>17204.357297964081</v>
      </c>
    </row>
    <row r="382" spans="2:12">
      <c r="B382" s="42">
        <v>0.15733817560350352</v>
      </c>
      <c r="C382" s="42">
        <v>55284.585100863675</v>
      </c>
      <c r="D382" s="42">
        <v>470.93874935148165</v>
      </c>
      <c r="E382" s="42">
        <v>349.08261360515155</v>
      </c>
      <c r="F382">
        <f t="shared" si="42"/>
        <v>-55284.585100863675</v>
      </c>
      <c r="G382">
        <f t="shared" si="43"/>
        <v>6670.0421155430749</v>
      </c>
      <c r="H382">
        <f t="shared" si="44"/>
        <v>9594.5893734549973</v>
      </c>
      <c r="I382">
        <f t="shared" si="45"/>
        <v>25234.482863856916</v>
      </c>
      <c r="J382">
        <f t="shared" si="46"/>
        <v>13734.1233558153</v>
      </c>
      <c r="K382">
        <f t="shared" si="47"/>
        <v>25261.322672200684</v>
      </c>
      <c r="L382" s="42">
        <f t="shared" si="48"/>
        <v>-6258.2242133570653</v>
      </c>
    </row>
    <row r="383" spans="2:12">
      <c r="B383" s="42">
        <v>0.11287881099887082</v>
      </c>
      <c r="C383" s="42">
        <v>58234.656819360942</v>
      </c>
      <c r="D383" s="42">
        <v>466.2144840845973</v>
      </c>
      <c r="E383" s="42">
        <v>352.95999023407694</v>
      </c>
      <c r="F383">
        <f t="shared" si="42"/>
        <v>-58234.656819360942</v>
      </c>
      <c r="G383">
        <f t="shared" si="43"/>
        <v>6024.4291512802529</v>
      </c>
      <c r="H383">
        <f t="shared" si="44"/>
        <v>8742.5370036927452</v>
      </c>
      <c r="I383">
        <f t="shared" si="45"/>
        <v>24048.435926389357</v>
      </c>
      <c r="J383">
        <f t="shared" si="46"/>
        <v>13017.646412549213</v>
      </c>
      <c r="K383">
        <f t="shared" si="47"/>
        <v>24597.435224463639</v>
      </c>
      <c r="L383" s="42">
        <f t="shared" si="48"/>
        <v>-5418.1115314261988</v>
      </c>
    </row>
    <row r="384" spans="2:12">
      <c r="B384" s="42">
        <v>0.16585894344920196</v>
      </c>
      <c r="C384" s="42">
        <v>57409.13113803522</v>
      </c>
      <c r="D384" s="42">
        <v>531.58818323313085</v>
      </c>
      <c r="E384" s="42">
        <v>349.82879116183966</v>
      </c>
      <c r="F384">
        <f t="shared" si="42"/>
        <v>-57409.13113803522</v>
      </c>
      <c r="G384">
        <f t="shared" si="43"/>
        <v>10916.45771660512</v>
      </c>
      <c r="H384">
        <f t="shared" si="44"/>
        <v>15278.683126316108</v>
      </c>
      <c r="I384">
        <f t="shared" si="45"/>
        <v>33993.789483321627</v>
      </c>
      <c r="J384">
        <f t="shared" si="46"/>
        <v>18890.280465102082</v>
      </c>
      <c r="K384">
        <f t="shared" si="47"/>
        <v>30550.717490157775</v>
      </c>
      <c r="L384" s="42">
        <f t="shared" si="48"/>
        <v>9055.270887481227</v>
      </c>
    </row>
    <row r="385" spans="2:12">
      <c r="B385" s="42">
        <v>0.14142887661366621</v>
      </c>
      <c r="C385" s="42">
        <v>59562.364574114203</v>
      </c>
      <c r="D385" s="42">
        <v>492.57637256996367</v>
      </c>
      <c r="E385" s="42">
        <v>366.41712698751792</v>
      </c>
      <c r="F385">
        <f t="shared" si="42"/>
        <v>-59562.364574114203</v>
      </c>
      <c r="G385">
        <f t="shared" si="43"/>
        <v>6819.5522934659848</v>
      </c>
      <c r="H385">
        <f t="shared" si="44"/>
        <v>9847.374187444686</v>
      </c>
      <c r="I385">
        <f t="shared" si="45"/>
        <v>26174.758140812402</v>
      </c>
      <c r="J385">
        <f t="shared" si="46"/>
        <v>14208.19788201544</v>
      </c>
      <c r="K385">
        <f t="shared" si="47"/>
        <v>26056.024658955655</v>
      </c>
      <c r="L385" s="42">
        <f t="shared" si="48"/>
        <v>-6610.023391769726</v>
      </c>
    </row>
    <row r="386" spans="2:12">
      <c r="B386" s="42">
        <v>0.18126773888363293</v>
      </c>
      <c r="C386" s="42">
        <v>58794.061098055972</v>
      </c>
      <c r="D386" s="42">
        <v>456.19830927457502</v>
      </c>
      <c r="E386" s="42">
        <v>321.98980681783502</v>
      </c>
      <c r="F386">
        <f t="shared" si="42"/>
        <v>-58794.061098055972</v>
      </c>
      <c r="G386">
        <f t="shared" si="43"/>
        <v>7790.895413068024</v>
      </c>
      <c r="H386">
        <f t="shared" si="44"/>
        <v>11011.899472029785</v>
      </c>
      <c r="I386">
        <f t="shared" si="45"/>
        <v>26550.257881405072</v>
      </c>
      <c r="J386">
        <f t="shared" si="46"/>
        <v>14633.870052186649</v>
      </c>
      <c r="K386">
        <f t="shared" si="47"/>
        <v>25698.10357982116</v>
      </c>
      <c r="L386" s="42">
        <f t="shared" si="48"/>
        <v>-9511.3795757270982</v>
      </c>
    </row>
    <row r="387" spans="2:12">
      <c r="B387" s="42">
        <v>0.10188604388561663</v>
      </c>
      <c r="C387" s="42">
        <v>58074.282052064576</v>
      </c>
      <c r="D387" s="42">
        <v>521.7795342875454</v>
      </c>
      <c r="E387" s="42">
        <v>333.46934415723138</v>
      </c>
      <c r="F387">
        <f t="shared" si="42"/>
        <v>-58074.282052064576</v>
      </c>
      <c r="G387">
        <f t="shared" si="43"/>
        <v>11528.799401837216</v>
      </c>
      <c r="H387">
        <f t="shared" si="44"/>
        <v>16048.243964964753</v>
      </c>
      <c r="I387">
        <f t="shared" si="45"/>
        <v>34655.735953856012</v>
      </c>
      <c r="J387">
        <f t="shared" si="46"/>
        <v>19355.492416150399</v>
      </c>
      <c r="K387">
        <f t="shared" si="47"/>
        <v>30734.560991241186</v>
      </c>
      <c r="L387" s="42">
        <f t="shared" si="48"/>
        <v>23560.808189919277</v>
      </c>
    </row>
    <row r="388" spans="2:12">
      <c r="B388" s="42">
        <v>0.15023041474654378</v>
      </c>
      <c r="C388" s="42">
        <v>55037.995544297613</v>
      </c>
      <c r="D388" s="42">
        <v>516.97897274697107</v>
      </c>
      <c r="E388" s="42">
        <v>356.79158909878839</v>
      </c>
      <c r="F388">
        <f t="shared" si="42"/>
        <v>-55037.995544297613</v>
      </c>
      <c r="G388">
        <f t="shared" si="43"/>
        <v>9322.1799371318775</v>
      </c>
      <c r="H388">
        <f t="shared" si="44"/>
        <v>13166.677144688256</v>
      </c>
      <c r="I388">
        <f t="shared" si="45"/>
        <v>30969.606616412864</v>
      </c>
      <c r="J388">
        <f t="shared" si="46"/>
        <v>17076.864528336442</v>
      </c>
      <c r="K388">
        <f t="shared" si="47"/>
        <v>28819.487899410997</v>
      </c>
      <c r="L388" s="42">
        <f t="shared" si="48"/>
        <v>7439.2842184157471</v>
      </c>
    </row>
    <row r="389" spans="2:12">
      <c r="B389" s="42">
        <v>0.13274025696584979</v>
      </c>
      <c r="C389" s="42">
        <v>57761.314737388224</v>
      </c>
      <c r="D389" s="42">
        <v>521.73680837427901</v>
      </c>
      <c r="E389" s="42">
        <v>361.4670247505112</v>
      </c>
      <c r="F389">
        <f t="shared" si="42"/>
        <v>-57761.314737388224</v>
      </c>
      <c r="G389">
        <f t="shared" si="43"/>
        <v>9285.9514145329158</v>
      </c>
      <c r="H389">
        <f t="shared" si="44"/>
        <v>13132.426221503338</v>
      </c>
      <c r="I389">
        <f t="shared" si="45"/>
        <v>31065.794854579304</v>
      </c>
      <c r="J389">
        <f t="shared" si="46"/>
        <v>17112.0035401471</v>
      </c>
      <c r="K389">
        <f t="shared" si="47"/>
        <v>28938.949552903836</v>
      </c>
      <c r="L389" s="42">
        <f t="shared" si="48"/>
        <v>7957.4136344897015</v>
      </c>
    </row>
    <row r="390" spans="2:12">
      <c r="B390" s="42">
        <v>0.17812738425855282</v>
      </c>
      <c r="C390" s="42">
        <v>59448.225348673972</v>
      </c>
      <c r="D390" s="42">
        <v>487.91009247108371</v>
      </c>
      <c r="E390" s="42">
        <v>354.75142674031798</v>
      </c>
      <c r="F390">
        <f t="shared" si="42"/>
        <v>-59448.225348673972</v>
      </c>
      <c r="G390">
        <f t="shared" si="43"/>
        <v>7421.5024262215047</v>
      </c>
      <c r="H390">
        <f t="shared" si="44"/>
        <v>10617.310403759886</v>
      </c>
      <c r="I390">
        <f t="shared" si="45"/>
        <v>26986.690878017522</v>
      </c>
      <c r="J390">
        <f t="shared" si="46"/>
        <v>14740.153813287761</v>
      </c>
      <c r="K390">
        <f t="shared" si="47"/>
        <v>26391.996826075017</v>
      </c>
      <c r="L390" s="42">
        <f t="shared" si="48"/>
        <v>-9716.5728922294929</v>
      </c>
    </row>
    <row r="391" spans="2:12">
      <c r="B391" s="42">
        <v>0.18661458174382764</v>
      </c>
      <c r="C391" s="42">
        <v>59870.601519821772</v>
      </c>
      <c r="D391" s="42">
        <v>543.50871303445535</v>
      </c>
      <c r="E391" s="42">
        <v>334.29181798760948</v>
      </c>
      <c r="F391">
        <f t="shared" si="42"/>
        <v>-59870.601519821772</v>
      </c>
      <c r="G391">
        <f t="shared" si="43"/>
        <v>13005.773186437575</v>
      </c>
      <c r="H391">
        <f t="shared" si="44"/>
        <v>18026.978667561874</v>
      </c>
      <c r="I391">
        <f t="shared" si="45"/>
        <v>37722.919400616469</v>
      </c>
      <c r="J391">
        <f t="shared" si="46"/>
        <v>21158.403881954404</v>
      </c>
      <c r="K391">
        <f t="shared" si="47"/>
        <v>32594.090395825064</v>
      </c>
      <c r="L391" s="42">
        <f t="shared" si="48"/>
        <v>10996.528202170348</v>
      </c>
    </row>
    <row r="392" spans="2:12">
      <c r="B392" s="42">
        <v>0.10706198309274575</v>
      </c>
      <c r="C392" s="42">
        <v>56648.915066988127</v>
      </c>
      <c r="D392" s="42">
        <v>477.98547318948943</v>
      </c>
      <c r="E392" s="42">
        <v>348.51496932889796</v>
      </c>
      <c r="F392">
        <f t="shared" si="42"/>
        <v>-56648.915066988127</v>
      </c>
      <c r="G392">
        <f t="shared" si="43"/>
        <v>7215.7710501419142</v>
      </c>
      <c r="H392">
        <f t="shared" si="44"/>
        <v>10323.063142796109</v>
      </c>
      <c r="I392">
        <f t="shared" si="45"/>
        <v>26335.963011566513</v>
      </c>
      <c r="J392">
        <f t="shared" si="46"/>
        <v>14385.553147984254</v>
      </c>
      <c r="K392">
        <f t="shared" si="47"/>
        <v>25917.763603625601</v>
      </c>
      <c r="L392" s="42">
        <f t="shared" si="48"/>
        <v>2865.6616363667508</v>
      </c>
    </row>
    <row r="393" spans="2:12">
      <c r="B393" s="42">
        <v>0.11847590563676871</v>
      </c>
      <c r="C393" s="42">
        <v>56657.307657094025</v>
      </c>
      <c r="D393" s="42">
        <v>529.87914670247505</v>
      </c>
      <c r="E393" s="42">
        <v>329.22116763817257</v>
      </c>
      <c r="F393">
        <f t="shared" si="42"/>
        <v>-56657.307657094025</v>
      </c>
      <c r="G393">
        <f t="shared" si="43"/>
        <v>12443.726004821925</v>
      </c>
      <c r="H393">
        <f t="shared" si="44"/>
        <v>17259.51750236519</v>
      </c>
      <c r="I393">
        <f t="shared" si="45"/>
        <v>36382.045960875264</v>
      </c>
      <c r="J393">
        <f t="shared" si="46"/>
        <v>20391.913205359055</v>
      </c>
      <c r="K393">
        <f t="shared" si="47"/>
        <v>31719.210180974758</v>
      </c>
      <c r="L393" s="42">
        <f t="shared" si="48"/>
        <v>25418.539340386211</v>
      </c>
    </row>
    <row r="394" spans="2:12">
      <c r="B394" s="42">
        <v>0.18445997497482225</v>
      </c>
      <c r="C394" s="42">
        <v>57612.079226050599</v>
      </c>
      <c r="D394" s="42">
        <v>480.82064271980954</v>
      </c>
      <c r="E394" s="42">
        <v>346.25354777672658</v>
      </c>
      <c r="F394">
        <f t="shared" si="42"/>
        <v>-57612.079226050599</v>
      </c>
      <c r="G394">
        <f t="shared" si="43"/>
        <v>7597.9818109683529</v>
      </c>
      <c r="H394">
        <f t="shared" si="44"/>
        <v>10827.592089602344</v>
      </c>
      <c r="I394">
        <f t="shared" si="45"/>
        <v>27039.35972167119</v>
      </c>
      <c r="J394">
        <f t="shared" si="46"/>
        <v>14810.291451765495</v>
      </c>
      <c r="K394">
        <f t="shared" si="47"/>
        <v>26311.989501632735</v>
      </c>
      <c r="L394" s="42">
        <f t="shared" si="48"/>
        <v>-8396.9333363819078</v>
      </c>
    </row>
    <row r="395" spans="2:12">
      <c r="B395" s="42">
        <v>0.18032471694082461</v>
      </c>
      <c r="C395" s="42">
        <v>57884.151738029112</v>
      </c>
      <c r="D395" s="42">
        <v>540.31647694326614</v>
      </c>
      <c r="E395" s="42">
        <v>354.88418225653857</v>
      </c>
      <c r="F395">
        <f t="shared" si="42"/>
        <v>-57884.151738029112</v>
      </c>
      <c r="G395">
        <f t="shared" si="43"/>
        <v>11131.735282448812</v>
      </c>
      <c r="H395">
        <f t="shared" si="44"/>
        <v>15582.110354930279</v>
      </c>
      <c r="I395">
        <f t="shared" si="45"/>
        <v>34621.030304879918</v>
      </c>
      <c r="J395">
        <f t="shared" si="46"/>
        <v>19236.482436597806</v>
      </c>
      <c r="K395">
        <f t="shared" si="47"/>
        <v>30995.262306588949</v>
      </c>
      <c r="L395" s="42">
        <f t="shared" si="48"/>
        <v>7226.3798640902151</v>
      </c>
    </row>
    <row r="396" spans="2:12">
      <c r="B396" s="42">
        <v>0.17785576952421644</v>
      </c>
      <c r="C396" s="42">
        <v>59379.558702352981</v>
      </c>
      <c r="D396" s="42">
        <v>478.32728049562058</v>
      </c>
      <c r="E396" s="42">
        <v>363.26761680959504</v>
      </c>
      <c r="F396">
        <f t="shared" si="42"/>
        <v>-59379.558702352981</v>
      </c>
      <c r="G396">
        <f t="shared" si="43"/>
        <v>6059.8275704214566</v>
      </c>
      <c r="H396">
        <f t="shared" si="44"/>
        <v>8821.2594988860747</v>
      </c>
      <c r="I396">
        <f t="shared" si="45"/>
        <v>24497.528000732436</v>
      </c>
      <c r="J396">
        <f t="shared" si="46"/>
        <v>13234.736777855767</v>
      </c>
      <c r="K396">
        <f t="shared" si="47"/>
        <v>25003.67320780053</v>
      </c>
      <c r="L396" s="42">
        <f t="shared" si="48"/>
        <v>-14979.501127784422</v>
      </c>
    </row>
    <row r="397" spans="2:12">
      <c r="B397" s="42">
        <v>0.18023010956144903</v>
      </c>
      <c r="C397" s="42">
        <v>59591.3571581164</v>
      </c>
      <c r="D397" s="42">
        <v>504.40534684286018</v>
      </c>
      <c r="E397" s="42">
        <v>369.93591113010041</v>
      </c>
      <c r="F397">
        <f t="shared" si="42"/>
        <v>-59591.3571581164</v>
      </c>
      <c r="G397">
        <f t="shared" si="43"/>
        <v>7377.9067354350427</v>
      </c>
      <c r="H397">
        <f t="shared" si="44"/>
        <v>10605.173192541271</v>
      </c>
      <c r="I397">
        <f t="shared" si="45"/>
        <v>27451.384014404735</v>
      </c>
      <c r="J397">
        <f t="shared" si="46"/>
        <v>14943.986938077942</v>
      </c>
      <c r="K397">
        <f t="shared" si="47"/>
        <v>26871.772209845272</v>
      </c>
      <c r="L397" s="42">
        <f t="shared" si="48"/>
        <v>-9592.2371512344671</v>
      </c>
    </row>
    <row r="398" spans="2:12">
      <c r="B398" s="42">
        <v>0.18717307046723838</v>
      </c>
      <c r="C398" s="42">
        <v>55267.494735557113</v>
      </c>
      <c r="D398" s="42">
        <v>487.02810754722742</v>
      </c>
      <c r="E398" s="42">
        <v>325.5406353953673</v>
      </c>
      <c r="F398">
        <f t="shared" si="42"/>
        <v>-55267.494735557113</v>
      </c>
      <c r="G398">
        <f t="shared" si="43"/>
        <v>9695.7448042237629</v>
      </c>
      <c r="H398">
        <f t="shared" si="44"/>
        <v>13571.444135868409</v>
      </c>
      <c r="I398">
        <f t="shared" si="45"/>
        <v>30596.90237128819</v>
      </c>
      <c r="J398">
        <f t="shared" si="46"/>
        <v>17001.166417432174</v>
      </c>
      <c r="K398">
        <f t="shared" si="47"/>
        <v>28183.872798852506</v>
      </c>
      <c r="L398" s="42">
        <f t="shared" si="48"/>
        <v>1326.3776447037872</v>
      </c>
    </row>
    <row r="399" spans="2:12">
      <c r="B399" s="42">
        <v>0.17723014007995849</v>
      </c>
      <c r="C399" s="42">
        <v>57177.64824365978</v>
      </c>
      <c r="D399" s="42">
        <v>462.99172948393198</v>
      </c>
      <c r="E399" s="42">
        <v>343.67778557695243</v>
      </c>
      <c r="F399">
        <f t="shared" si="42"/>
        <v>-57177.64824365978</v>
      </c>
      <c r="G399">
        <f t="shared" si="43"/>
        <v>6538.1899472029772</v>
      </c>
      <c r="H399">
        <f t="shared" si="44"/>
        <v>9401.7246009704832</v>
      </c>
      <c r="I399">
        <f t="shared" si="45"/>
        <v>24766.035950804158</v>
      </c>
      <c r="J399">
        <f t="shared" si="46"/>
        <v>13483.065889461957</v>
      </c>
      <c r="K399">
        <f t="shared" si="47"/>
        <v>24907.893917661058</v>
      </c>
      <c r="L399" s="42">
        <f t="shared" si="48"/>
        <v>-11623.512147575655</v>
      </c>
    </row>
    <row r="400" spans="2:12">
      <c r="B400" s="42">
        <v>0.16517227698599202</v>
      </c>
      <c r="C400" s="42">
        <v>58829.920346690269</v>
      </c>
      <c r="D400" s="42">
        <v>494.3922238837855</v>
      </c>
      <c r="E400" s="42">
        <v>324.03302102725303</v>
      </c>
      <c r="F400">
        <f t="shared" si="42"/>
        <v>-58829.920346690269</v>
      </c>
      <c r="G400">
        <f t="shared" si="43"/>
        <v>10339.206213568528</v>
      </c>
      <c r="H400">
        <f t="shared" si="44"/>
        <v>14427.827082125312</v>
      </c>
      <c r="I400">
        <f t="shared" si="45"/>
        <v>31865.037995544295</v>
      </c>
      <c r="J400">
        <f t="shared" si="46"/>
        <v>17755.089571825309</v>
      </c>
      <c r="K400">
        <f t="shared" si="47"/>
        <v>28928.402356028928</v>
      </c>
      <c r="L400" s="42">
        <f t="shared" si="48"/>
        <v>3917.9941994931996</v>
      </c>
    </row>
    <row r="401" spans="2:12">
      <c r="B401" s="42">
        <v>0.10469069490646077</v>
      </c>
      <c r="C401" s="42">
        <v>57316.660054322943</v>
      </c>
      <c r="D401" s="42">
        <v>479.87151707510606</v>
      </c>
      <c r="E401" s="42">
        <v>334.79537339396342</v>
      </c>
      <c r="F401">
        <f t="shared" si="42"/>
        <v>-57316.660054322943</v>
      </c>
      <c r="G401">
        <f t="shared" si="43"/>
        <v>8447.2478408154566</v>
      </c>
      <c r="H401">
        <f t="shared" si="44"/>
        <v>11929.075289162882</v>
      </c>
      <c r="I401">
        <f t="shared" si="45"/>
        <v>28367.433698538167</v>
      </c>
      <c r="J401">
        <f t="shared" si="46"/>
        <v>15645.320596942047</v>
      </c>
      <c r="K401">
        <f t="shared" si="47"/>
        <v>26961.789605395672</v>
      </c>
      <c r="L401" s="42">
        <f t="shared" si="48"/>
        <v>8042.120366842777</v>
      </c>
    </row>
    <row r="402" spans="2:12">
      <c r="B402" s="42">
        <v>0.19302652058473466</v>
      </c>
      <c r="C402" s="42">
        <v>57360.911893063145</v>
      </c>
      <c r="D402" s="42">
        <v>461.70690023499253</v>
      </c>
      <c r="E402" s="42">
        <v>353.63444929349652</v>
      </c>
      <c r="F402">
        <f t="shared" si="42"/>
        <v>-57360.911893063145</v>
      </c>
      <c r="G402">
        <f t="shared" si="43"/>
        <v>5650.4339732047465</v>
      </c>
      <c r="H402">
        <f t="shared" si="44"/>
        <v>8244.1727958006522</v>
      </c>
      <c r="I402">
        <f t="shared" si="45"/>
        <v>23303.997924741358</v>
      </c>
      <c r="J402">
        <f t="shared" si="46"/>
        <v>12576.037476729634</v>
      </c>
      <c r="K402">
        <f t="shared" si="47"/>
        <v>24157.602465895568</v>
      </c>
      <c r="L402" s="42">
        <f t="shared" si="48"/>
        <v>-16905.112671406816</v>
      </c>
    </row>
    <row r="403" spans="2:12">
      <c r="B403" s="42">
        <v>0.10650654622028261</v>
      </c>
      <c r="C403" s="42">
        <v>55743.43089083529</v>
      </c>
      <c r="D403" s="42">
        <v>519.50285348063596</v>
      </c>
      <c r="E403" s="42">
        <v>348.89645069734792</v>
      </c>
      <c r="F403">
        <f t="shared" si="42"/>
        <v>-55743.43089083529</v>
      </c>
      <c r="G403">
        <f t="shared" si="43"/>
        <v>10132.986541337321</v>
      </c>
      <c r="H403">
        <f t="shared" si="44"/>
        <v>14227.54020813623</v>
      </c>
      <c r="I403">
        <f t="shared" si="45"/>
        <v>32348.670918912318</v>
      </c>
      <c r="J403">
        <f t="shared" si="46"/>
        <v>17925.529343546859</v>
      </c>
      <c r="K403">
        <f t="shared" si="47"/>
        <v>29546.878261665697</v>
      </c>
      <c r="L403" s="42">
        <f t="shared" si="48"/>
        <v>18683.556522604238</v>
      </c>
    </row>
    <row r="404" spans="2:12">
      <c r="B404" s="42">
        <v>0.18308664204840236</v>
      </c>
      <c r="C404" s="42">
        <v>58223.059785760066</v>
      </c>
      <c r="D404" s="42">
        <v>531.85674611651962</v>
      </c>
      <c r="E404" s="42">
        <v>367.33268227179786</v>
      </c>
      <c r="F404">
        <f t="shared" si="42"/>
        <v>-58223.059785760066</v>
      </c>
      <c r="G404">
        <f t="shared" si="43"/>
        <v>9535.214392529062</v>
      </c>
      <c r="H404">
        <f t="shared" si="44"/>
        <v>13483.791924802386</v>
      </c>
      <c r="I404">
        <f t="shared" si="45"/>
        <v>31792.501602221731</v>
      </c>
      <c r="J404">
        <f t="shared" si="46"/>
        <v>17513.065584276857</v>
      </c>
      <c r="K404">
        <f t="shared" si="47"/>
        <v>29454.101992858661</v>
      </c>
      <c r="L404" s="42">
        <f t="shared" si="48"/>
        <v>315.50624906345911</v>
      </c>
    </row>
    <row r="405" spans="2:12">
      <c r="B405" s="42">
        <v>0.19480574968718528</v>
      </c>
      <c r="C405" s="42">
        <v>55441.145054475543</v>
      </c>
      <c r="D405" s="42">
        <v>500.63936277352212</v>
      </c>
      <c r="E405" s="42">
        <v>345.72557756279184</v>
      </c>
      <c r="F405">
        <f t="shared" si="42"/>
        <v>-55441.145054475543</v>
      </c>
      <c r="G405">
        <f t="shared" si="43"/>
        <v>9047.3485518967245</v>
      </c>
      <c r="H405">
        <f t="shared" si="44"/>
        <v>12765.279396954251</v>
      </c>
      <c r="I405">
        <f t="shared" si="45"/>
        <v>30000.473036896874</v>
      </c>
      <c r="J405">
        <f t="shared" si="46"/>
        <v>16556.938993499556</v>
      </c>
      <c r="K405">
        <f t="shared" si="47"/>
        <v>28089.826960051269</v>
      </c>
      <c r="L405" s="42">
        <f t="shared" si="48"/>
        <v>-1677.5051956913394</v>
      </c>
    </row>
    <row r="406" spans="2:12">
      <c r="B406" s="42">
        <v>0.10770287179174169</v>
      </c>
      <c r="C406" s="42">
        <v>58775.444807275613</v>
      </c>
      <c r="D406" s="42">
        <v>537.64610736411635</v>
      </c>
      <c r="E406" s="42">
        <v>345.35477767265849</v>
      </c>
      <c r="F406">
        <f t="shared" si="42"/>
        <v>-58775.444807275613</v>
      </c>
      <c r="G406">
        <f t="shared" si="43"/>
        <v>11704.49140903958</v>
      </c>
      <c r="H406">
        <f t="shared" si="44"/>
        <v>16319.483321634572</v>
      </c>
      <c r="I406">
        <f t="shared" si="45"/>
        <v>35450.920133060703</v>
      </c>
      <c r="J406">
        <f t="shared" si="46"/>
        <v>19769.183019501324</v>
      </c>
      <c r="K406">
        <f t="shared" si="47"/>
        <v>31370.151676992093</v>
      </c>
      <c r="L406" s="42">
        <f t="shared" si="48"/>
        <v>23115.695542659865</v>
      </c>
    </row>
    <row r="407" spans="2:12">
      <c r="B407" s="42">
        <v>0.15761284218878752</v>
      </c>
      <c r="C407" s="42">
        <v>57258.827478865933</v>
      </c>
      <c r="D407" s="42">
        <v>463.88592181157873</v>
      </c>
      <c r="E407" s="42">
        <v>359.2971587267678</v>
      </c>
      <c r="F407">
        <f t="shared" si="42"/>
        <v>-57258.827478865933</v>
      </c>
      <c r="G407">
        <f t="shared" si="43"/>
        <v>5352.1277504806649</v>
      </c>
      <c r="H407">
        <f t="shared" si="44"/>
        <v>7862.2580645161279</v>
      </c>
      <c r="I407">
        <f t="shared" si="45"/>
        <v>22897.308267464214</v>
      </c>
      <c r="J407">
        <f t="shared" si="46"/>
        <v>12310.416577654345</v>
      </c>
      <c r="K407">
        <f t="shared" si="47"/>
        <v>23986.942960905788</v>
      </c>
      <c r="L407" s="42">
        <f t="shared" si="48"/>
        <v>-13614.150202637493</v>
      </c>
    </row>
    <row r="408" spans="2:12">
      <c r="B408" s="42">
        <v>0.19377422406689659</v>
      </c>
      <c r="C408" s="42">
        <v>58189.642017883845</v>
      </c>
      <c r="D408" s="42">
        <v>521.37974181340985</v>
      </c>
      <c r="E408" s="42">
        <v>352.19550157170323</v>
      </c>
      <c r="F408">
        <f t="shared" si="42"/>
        <v>-58189.642017883845</v>
      </c>
      <c r="G408">
        <f t="shared" si="43"/>
        <v>10002.321543015842</v>
      </c>
      <c r="H408">
        <f t="shared" si="44"/>
        <v>14062.7433088168</v>
      </c>
      <c r="I408">
        <f t="shared" si="45"/>
        <v>32200.418103579825</v>
      </c>
      <c r="J408">
        <f t="shared" si="46"/>
        <v>17823.017670216988</v>
      </c>
      <c r="K408">
        <f t="shared" si="47"/>
        <v>29500.905178991059</v>
      </c>
      <c r="L408" s="42">
        <f t="shared" si="48"/>
        <v>-71.35043800090898</v>
      </c>
    </row>
    <row r="409" spans="2:12">
      <c r="B409" s="42">
        <v>0.12250129703665273</v>
      </c>
      <c r="C409" s="42">
        <v>57493.057039094208</v>
      </c>
      <c r="D409" s="42">
        <v>546.23706778160954</v>
      </c>
      <c r="E409" s="42">
        <v>324.66017639698475</v>
      </c>
      <c r="F409">
        <f t="shared" si="42"/>
        <v>-57493.057039094208</v>
      </c>
      <c r="G409">
        <f t="shared" si="43"/>
        <v>13970.017700735501</v>
      </c>
      <c r="H409">
        <f t="shared" si="44"/>
        <v>19287.863093966487</v>
      </c>
      <c r="I409">
        <f t="shared" si="45"/>
        <v>39354.109317300943</v>
      </c>
      <c r="J409">
        <f t="shared" si="46"/>
        <v>22163.573717459643</v>
      </c>
      <c r="K409">
        <f t="shared" si="47"/>
        <v>33450.610675374613</v>
      </c>
      <c r="L409" s="42">
        <f t="shared" si="48"/>
        <v>30815.196314643221</v>
      </c>
    </row>
    <row r="410" spans="2:12">
      <c r="B410" s="42">
        <v>0.19006927701651052</v>
      </c>
      <c r="C410" s="42">
        <v>56929.227576525162</v>
      </c>
      <c r="D410" s="42">
        <v>511.65654469435714</v>
      </c>
      <c r="E410" s="42">
        <v>362.74269844660785</v>
      </c>
      <c r="F410">
        <f t="shared" si="42"/>
        <v>-56929.227576525162</v>
      </c>
      <c r="G410">
        <f t="shared" si="43"/>
        <v>8468.198797570727</v>
      </c>
      <c r="H410">
        <f t="shared" si="44"/>
        <v>12042.131107516718</v>
      </c>
      <c r="I410">
        <f t="shared" si="45"/>
        <v>29430.790124210336</v>
      </c>
      <c r="J410">
        <f t="shared" si="46"/>
        <v>16143.046967986087</v>
      </c>
      <c r="K410">
        <f t="shared" si="47"/>
        <v>27970.243232520523</v>
      </c>
      <c r="L410" s="42">
        <f t="shared" si="48"/>
        <v>-4083.4621126395668</v>
      </c>
    </row>
    <row r="411" spans="2:12">
      <c r="B411" s="42">
        <v>0.17997985778374584</v>
      </c>
      <c r="C411" s="42">
        <v>59463.484603411969</v>
      </c>
      <c r="D411" s="42">
        <v>549.48728904080326</v>
      </c>
      <c r="E411" s="42">
        <v>330.19013031403546</v>
      </c>
      <c r="F411">
        <f t="shared" si="42"/>
        <v>-59463.484603411969</v>
      </c>
      <c r="G411">
        <f t="shared" si="43"/>
        <v>13758.387096774197</v>
      </c>
      <c r="H411">
        <f t="shared" si="44"/>
        <v>19021.518906216621</v>
      </c>
      <c r="I411">
        <f t="shared" si="45"/>
        <v>39120.80751976074</v>
      </c>
      <c r="J411">
        <f t="shared" si="46"/>
        <v>22000.696432386245</v>
      </c>
      <c r="K411">
        <f t="shared" si="47"/>
        <v>33382.713095492421</v>
      </c>
      <c r="L411" s="42">
        <f t="shared" si="48"/>
        <v>15610.766481846436</v>
      </c>
    </row>
    <row r="412" spans="2:12">
      <c r="B412" s="42">
        <v>0.12084109012115848</v>
      </c>
      <c r="C412" s="42">
        <v>57178.411206396682</v>
      </c>
      <c r="D412" s="42">
        <v>521.57811212500383</v>
      </c>
      <c r="E412" s="42">
        <v>363.41410565507982</v>
      </c>
      <c r="F412">
        <f t="shared" si="42"/>
        <v>-57178.411206396682</v>
      </c>
      <c r="G412">
        <f t="shared" si="43"/>
        <v>9118.9175084688868</v>
      </c>
      <c r="H412">
        <f t="shared" si="44"/>
        <v>12914.853663747061</v>
      </c>
      <c r="I412">
        <f t="shared" si="45"/>
        <v>30793.398846400341</v>
      </c>
      <c r="J412">
        <f t="shared" si="46"/>
        <v>16942.589190343944</v>
      </c>
      <c r="K412">
        <f t="shared" si="47"/>
        <v>28800.371105075228</v>
      </c>
      <c r="L412" s="42">
        <f t="shared" si="48"/>
        <v>10122.311247630942</v>
      </c>
    </row>
    <row r="413" spans="2:12">
      <c r="B413" s="42">
        <v>0.15117954039124731</v>
      </c>
      <c r="C413" s="42">
        <v>58612.628559221164</v>
      </c>
      <c r="D413" s="42">
        <v>535.02761925107575</v>
      </c>
      <c r="E413" s="42">
        <v>340.12237922299875</v>
      </c>
      <c r="F413">
        <f t="shared" si="42"/>
        <v>-58612.628559221164</v>
      </c>
      <c r="G413">
        <f t="shared" si="43"/>
        <v>11937.170628986474</v>
      </c>
      <c r="H413">
        <f t="shared" si="44"/>
        <v>16614.896389660331</v>
      </c>
      <c r="I413">
        <f t="shared" si="45"/>
        <v>35738.367870113223</v>
      </c>
      <c r="J413">
        <f t="shared" si="46"/>
        <v>19962.584917752614</v>
      </c>
      <c r="K413">
        <f t="shared" si="47"/>
        <v>31474.598223822744</v>
      </c>
      <c r="L413" s="42">
        <f t="shared" si="48"/>
        <v>14656.196278254925</v>
      </c>
    </row>
    <row r="414" spans="2:12">
      <c r="B414" s="42">
        <v>0.19724417859431748</v>
      </c>
      <c r="C414" s="42">
        <v>59998.01629688406</v>
      </c>
      <c r="D414" s="42">
        <v>496.08294930875576</v>
      </c>
      <c r="E414" s="42">
        <v>356.61763359477521</v>
      </c>
      <c r="F414">
        <f t="shared" si="42"/>
        <v>-59998.01629688406</v>
      </c>
      <c r="G414">
        <f t="shared" si="43"/>
        <v>7852.478713339643</v>
      </c>
      <c r="H414">
        <f t="shared" si="44"/>
        <v>11199.646290475175</v>
      </c>
      <c r="I414">
        <f t="shared" si="45"/>
        <v>27941.053498947113</v>
      </c>
      <c r="J414">
        <f t="shared" si="46"/>
        <v>15293.72295297098</v>
      </c>
      <c r="K414">
        <f t="shared" si="47"/>
        <v>26991.770989104894</v>
      </c>
      <c r="L414" s="42">
        <f t="shared" si="48"/>
        <v>-10927.944065982307</v>
      </c>
    </row>
    <row r="415" spans="2:12">
      <c r="B415" s="42">
        <v>0.11029084139530626</v>
      </c>
      <c r="C415" s="42">
        <v>58164.31165501877</v>
      </c>
      <c r="D415" s="42">
        <v>486.97317423017057</v>
      </c>
      <c r="E415" s="42">
        <v>365.00259407330549</v>
      </c>
      <c r="F415">
        <f t="shared" si="42"/>
        <v>-58164.31165501877</v>
      </c>
      <c r="G415">
        <f t="shared" si="43"/>
        <v>6534.8878444776719</v>
      </c>
      <c r="H415">
        <f t="shared" si="44"/>
        <v>9462.1817682424335</v>
      </c>
      <c r="I415">
        <f t="shared" si="45"/>
        <v>25537.7513962218</v>
      </c>
      <c r="J415">
        <f t="shared" si="46"/>
        <v>13839.48545793023</v>
      </c>
      <c r="K415">
        <f t="shared" si="47"/>
        <v>25653.473311563459</v>
      </c>
      <c r="L415" s="42">
        <f t="shared" si="48"/>
        <v>-1633.4503692944563</v>
      </c>
    </row>
    <row r="416" spans="2:12">
      <c r="B416" s="42">
        <v>0.18006836146122623</v>
      </c>
      <c r="C416" s="42">
        <v>57491.378521073028</v>
      </c>
      <c r="D416" s="42">
        <v>507.28934598834195</v>
      </c>
      <c r="E416" s="42">
        <v>348.04956205938902</v>
      </c>
      <c r="F416">
        <f t="shared" si="42"/>
        <v>-57491.378521073028</v>
      </c>
      <c r="G416">
        <f t="shared" si="43"/>
        <v>9333.578600421155</v>
      </c>
      <c r="H416">
        <f t="shared" si="44"/>
        <v>13155.333414716031</v>
      </c>
      <c r="I416">
        <f t="shared" si="45"/>
        <v>30673.900570696129</v>
      </c>
      <c r="J416">
        <f t="shared" si="46"/>
        <v>16942.918790246287</v>
      </c>
      <c r="K416">
        <f t="shared" si="47"/>
        <v>28526.290475173191</v>
      </c>
      <c r="L416" s="42">
        <f t="shared" si="48"/>
        <v>-266.88737894499536</v>
      </c>
    </row>
    <row r="417" spans="2:12">
      <c r="B417" s="42">
        <v>0.10602130191961426</v>
      </c>
      <c r="C417" s="42">
        <v>59868.160039063689</v>
      </c>
      <c r="D417" s="42">
        <v>471.8268379772332</v>
      </c>
      <c r="E417" s="42">
        <v>353.86638996551409</v>
      </c>
      <c r="F417">
        <f t="shared" si="42"/>
        <v>-59868.160039063689</v>
      </c>
      <c r="G417">
        <f t="shared" si="43"/>
        <v>6350.3942991424301</v>
      </c>
      <c r="H417">
        <f t="shared" si="44"/>
        <v>9181.4450514236887</v>
      </c>
      <c r="I417">
        <f t="shared" si="45"/>
        <v>24751.820429090243</v>
      </c>
      <c r="J417">
        <f t="shared" si="46"/>
        <v>13427.796868800928</v>
      </c>
      <c r="K417">
        <f t="shared" si="47"/>
        <v>25033.312784203619</v>
      </c>
      <c r="L417" s="42">
        <f t="shared" si="48"/>
        <v>-4228.1280087705818</v>
      </c>
    </row>
    <row r="418" spans="2:12">
      <c r="B418" s="42">
        <v>0.18613544114505448</v>
      </c>
      <c r="C418" s="42">
        <v>55762.352366710409</v>
      </c>
      <c r="D418" s="42">
        <v>538.43348490859705</v>
      </c>
      <c r="E418" s="42">
        <v>357.84142582476272</v>
      </c>
      <c r="F418">
        <f t="shared" si="42"/>
        <v>-55762.352366710409</v>
      </c>
      <c r="G418">
        <f t="shared" si="43"/>
        <v>10761.463362529375</v>
      </c>
      <c r="H418">
        <f t="shared" si="44"/>
        <v>15095.672780541392</v>
      </c>
      <c r="I418">
        <f t="shared" si="45"/>
        <v>33967.586291085543</v>
      </c>
      <c r="J418">
        <f t="shared" si="46"/>
        <v>18837.965636158326</v>
      </c>
      <c r="K418">
        <f t="shared" si="47"/>
        <v>30640.295419171729</v>
      </c>
      <c r="L418" s="42">
        <f t="shared" si="48"/>
        <v>6961.7941371762772</v>
      </c>
    </row>
    <row r="419" spans="2:12">
      <c r="B419" s="42">
        <v>0.13040559099093602</v>
      </c>
      <c r="C419" s="42">
        <v>56864.223151341292</v>
      </c>
      <c r="D419" s="42">
        <v>497.96288949247719</v>
      </c>
      <c r="E419" s="42">
        <v>347.73216956083866</v>
      </c>
      <c r="F419">
        <f t="shared" si="42"/>
        <v>-56864.223151341292</v>
      </c>
      <c r="G419">
        <f t="shared" si="43"/>
        <v>8696.7915890987897</v>
      </c>
      <c r="H419">
        <f t="shared" si="44"/>
        <v>12302.328867458109</v>
      </c>
      <c r="I419">
        <f t="shared" si="45"/>
        <v>29352.864162114322</v>
      </c>
      <c r="J419">
        <f t="shared" si="46"/>
        <v>16166.234931485946</v>
      </c>
      <c r="K419">
        <f t="shared" si="47"/>
        <v>27725.875423444319</v>
      </c>
      <c r="L419" s="42">
        <f t="shared" si="48"/>
        <v>5700.3733192368873</v>
      </c>
    </row>
    <row r="420" spans="2:12">
      <c r="B420" s="42">
        <v>0.11811883907589954</v>
      </c>
      <c r="C420" s="42">
        <v>56943.723868526264</v>
      </c>
      <c r="D420" s="42">
        <v>471.36295663319805</v>
      </c>
      <c r="E420" s="42">
        <v>349.34049501022372</v>
      </c>
      <c r="F420">
        <f t="shared" si="42"/>
        <v>-56943.723868526264</v>
      </c>
      <c r="G420">
        <f t="shared" si="43"/>
        <v>6679.5303201391644</v>
      </c>
      <c r="H420">
        <f t="shared" si="44"/>
        <v>9608.0693990905493</v>
      </c>
      <c r="I420">
        <f t="shared" si="45"/>
        <v>25263.408307138277</v>
      </c>
      <c r="J420">
        <f t="shared" si="46"/>
        <v>13749.974669637135</v>
      </c>
      <c r="K420">
        <f t="shared" si="47"/>
        <v>25282.14850306711</v>
      </c>
      <c r="L420" s="42">
        <f t="shared" si="48"/>
        <v>-1947.4576665339664</v>
      </c>
    </row>
    <row r="421" spans="2:12">
      <c r="B421" s="42">
        <v>0.12030701620532853</v>
      </c>
      <c r="C421" s="42">
        <v>58198.034607989743</v>
      </c>
      <c r="D421" s="42">
        <v>455.10574663533436</v>
      </c>
      <c r="E421" s="42">
        <v>325.46281319620351</v>
      </c>
      <c r="F421">
        <f t="shared" si="42"/>
        <v>-58198.034607989743</v>
      </c>
      <c r="G421">
        <f t="shared" si="43"/>
        <v>7435.4829554124608</v>
      </c>
      <c r="H421">
        <f t="shared" si="44"/>
        <v>10546.9133579516</v>
      </c>
      <c r="I421">
        <f t="shared" si="45"/>
        <v>25946.198919644765</v>
      </c>
      <c r="J421">
        <f t="shared" si="46"/>
        <v>14262.069154942476</v>
      </c>
      <c r="K421">
        <f t="shared" si="47"/>
        <v>25379.685659352399</v>
      </c>
      <c r="L421" s="42">
        <f t="shared" si="48"/>
        <v>-1269.6256138503777</v>
      </c>
    </row>
    <row r="422" spans="2:12">
      <c r="B422" s="42">
        <v>0.18704489272743921</v>
      </c>
      <c r="C422" s="42">
        <v>56080.81301309244</v>
      </c>
      <c r="D422" s="42">
        <v>462.28980376598406</v>
      </c>
      <c r="E422" s="42">
        <v>344.85427411725209</v>
      </c>
      <c r="F422">
        <f t="shared" si="42"/>
        <v>-56080.81301309244</v>
      </c>
      <c r="G422">
        <f t="shared" si="43"/>
        <v>6394.234138004701</v>
      </c>
      <c r="H422">
        <f t="shared" si="44"/>
        <v>9212.6868495742674</v>
      </c>
      <c r="I422">
        <f t="shared" si="45"/>
        <v>24512.964262825408</v>
      </c>
      <c r="J422">
        <f t="shared" si="46"/>
        <v>13328.58119449446</v>
      </c>
      <c r="K422">
        <f t="shared" si="47"/>
        <v>24770.829187902462</v>
      </c>
      <c r="L422" s="42">
        <f t="shared" si="48"/>
        <v>-12277.702980184298</v>
      </c>
    </row>
    <row r="423" spans="2:12">
      <c r="B423" s="42">
        <v>0.10905789361247598</v>
      </c>
      <c r="C423" s="42">
        <v>57016.205328531752</v>
      </c>
      <c r="D423" s="42">
        <v>504.68916898098695</v>
      </c>
      <c r="E423" s="42">
        <v>346.60145878475294</v>
      </c>
      <c r="F423">
        <f t="shared" si="42"/>
        <v>-57016.205328531752</v>
      </c>
      <c r="G423">
        <f t="shared" si="43"/>
        <v>9264.8142948698369</v>
      </c>
      <c r="H423">
        <f t="shared" si="44"/>
        <v>13058.919339579459</v>
      </c>
      <c r="I423">
        <f t="shared" si="45"/>
        <v>30479.63194677572</v>
      </c>
      <c r="J423">
        <f t="shared" si="46"/>
        <v>16835.151829584644</v>
      </c>
      <c r="K423">
        <f t="shared" si="47"/>
        <v>28390.153508102663</v>
      </c>
      <c r="L423" s="42">
        <f t="shared" si="48"/>
        <v>12345.199357868696</v>
      </c>
    </row>
    <row r="424" spans="2:12">
      <c r="B424" s="42">
        <v>0.19993285927915283</v>
      </c>
      <c r="C424" s="42">
        <v>56148.869289223912</v>
      </c>
      <c r="D424" s="42">
        <v>518.01355021820734</v>
      </c>
      <c r="E424" s="42">
        <v>327.01467940305798</v>
      </c>
      <c r="F424">
        <f t="shared" si="42"/>
        <v>-56148.869289223912</v>
      </c>
      <c r="G424">
        <f t="shared" si="43"/>
        <v>11777.787713248079</v>
      </c>
      <c r="H424">
        <f t="shared" si="44"/>
        <v>16361.760612811668</v>
      </c>
      <c r="I424">
        <f t="shared" si="45"/>
        <v>34932.099368266849</v>
      </c>
      <c r="J424">
        <f t="shared" si="46"/>
        <v>19547.990966521189</v>
      </c>
      <c r="K424">
        <f t="shared" si="47"/>
        <v>30816.252937406534</v>
      </c>
      <c r="L424" s="42">
        <f t="shared" si="48"/>
        <v>7065.8522761736731</v>
      </c>
    </row>
    <row r="425" spans="2:12">
      <c r="B425" s="42">
        <v>0.13581041901913513</v>
      </c>
      <c r="C425" s="42">
        <v>56976.683858760342</v>
      </c>
      <c r="D425" s="42">
        <v>509.36765648365736</v>
      </c>
      <c r="E425" s="42">
        <v>357.59422589800715</v>
      </c>
      <c r="F425">
        <f t="shared" si="42"/>
        <v>-56976.683858760342</v>
      </c>
      <c r="G425">
        <f t="shared" si="43"/>
        <v>8717.5655384991005</v>
      </c>
      <c r="H425">
        <f t="shared" si="44"/>
        <v>12360.127872554705</v>
      </c>
      <c r="I425">
        <f t="shared" si="45"/>
        <v>29755.616931669058</v>
      </c>
      <c r="J425">
        <f t="shared" si="46"/>
        <v>16358.080385753959</v>
      </c>
      <c r="K425">
        <f t="shared" si="47"/>
        <v>28098.32331308939</v>
      </c>
      <c r="L425" s="42">
        <f t="shared" si="48"/>
        <v>5280.3043119259255</v>
      </c>
    </row>
    <row r="426" spans="2:12">
      <c r="B426" s="42">
        <v>0.11493575853755303</v>
      </c>
      <c r="C426" s="42">
        <v>56987.212744529555</v>
      </c>
      <c r="D426" s="42">
        <v>532.68990142521443</v>
      </c>
      <c r="E426" s="42">
        <v>339.04354991302228</v>
      </c>
      <c r="F426">
        <f t="shared" si="42"/>
        <v>-56987.212744529555</v>
      </c>
      <c r="G426">
        <f t="shared" si="43"/>
        <v>11857.499008148447</v>
      </c>
      <c r="H426">
        <f t="shared" si="44"/>
        <v>16505.011444441054</v>
      </c>
      <c r="I426">
        <f t="shared" si="45"/>
        <v>35535.151219214458</v>
      </c>
      <c r="J426">
        <f t="shared" si="46"/>
        <v>19847.847529526662</v>
      </c>
      <c r="K426">
        <f t="shared" si="47"/>
        <v>31337.924130985444</v>
      </c>
      <c r="L426" s="42">
        <f t="shared" si="48"/>
        <v>23598.785398480377</v>
      </c>
    </row>
    <row r="427" spans="2:12">
      <c r="B427" s="42">
        <v>0.13049409466841641</v>
      </c>
      <c r="C427" s="42">
        <v>58901.638843958863</v>
      </c>
      <c r="D427" s="42">
        <v>546.50868251594591</v>
      </c>
      <c r="E427" s="42">
        <v>334.18805505539109</v>
      </c>
      <c r="F427">
        <f t="shared" si="42"/>
        <v>-58901.638843958863</v>
      </c>
      <c r="G427">
        <f t="shared" si="43"/>
        <v>13227.072054200871</v>
      </c>
      <c r="H427">
        <f t="shared" si="44"/>
        <v>18322.767113254187</v>
      </c>
      <c r="I427">
        <f t="shared" si="45"/>
        <v>38174.196600238043</v>
      </c>
      <c r="J427">
        <f t="shared" si="46"/>
        <v>21424.702291940059</v>
      </c>
      <c r="K427">
        <f t="shared" si="47"/>
        <v>32864.728537858209</v>
      </c>
      <c r="L427" s="42">
        <f t="shared" si="48"/>
        <v>24473.376734361009</v>
      </c>
    </row>
    <row r="428" spans="2:12">
      <c r="B428" s="42">
        <v>0.13532517471846675</v>
      </c>
      <c r="C428" s="42">
        <v>56429.33439130833</v>
      </c>
      <c r="D428" s="42">
        <v>475.93462935270242</v>
      </c>
      <c r="E428" s="42">
        <v>328.09656056398205</v>
      </c>
      <c r="F428">
        <f t="shared" si="42"/>
        <v>-56429.33439130833</v>
      </c>
      <c r="G428">
        <f t="shared" si="43"/>
        <v>8703.6338389233097</v>
      </c>
      <c r="H428">
        <f t="shared" si="44"/>
        <v>12251.747489852594</v>
      </c>
      <c r="I428">
        <f t="shared" si="45"/>
        <v>28650.096133304854</v>
      </c>
      <c r="J428">
        <f t="shared" si="46"/>
        <v>15842.653279213842</v>
      </c>
      <c r="K428">
        <f t="shared" si="47"/>
        <v>27044.067506942964</v>
      </c>
      <c r="L428" s="42">
        <f t="shared" si="48"/>
        <v>4192.8326169771717</v>
      </c>
    </row>
    <row r="429" spans="2:12">
      <c r="B429" s="42">
        <v>0.18542741172521135</v>
      </c>
      <c r="C429" s="42">
        <v>57206.030457472458</v>
      </c>
      <c r="D429" s="42">
        <v>458.34376049073762</v>
      </c>
      <c r="E429" s="42">
        <v>339.86754966887418</v>
      </c>
      <c r="F429">
        <f t="shared" si="42"/>
        <v>-57206.030457472458</v>
      </c>
      <c r="G429">
        <f t="shared" si="43"/>
        <v>6513.0030213324371</v>
      </c>
      <c r="H429">
        <f t="shared" si="44"/>
        <v>9356.4320810571608</v>
      </c>
      <c r="I429">
        <f t="shared" si="45"/>
        <v>24575.142674031798</v>
      </c>
      <c r="J429">
        <f t="shared" si="46"/>
        <v>13388.159428693501</v>
      </c>
      <c r="K429">
        <f t="shared" si="47"/>
        <v>24742.727744376964</v>
      </c>
      <c r="L429" s="42">
        <f t="shared" si="48"/>
        <v>-12951.055615688503</v>
      </c>
    </row>
    <row r="430" spans="2:12">
      <c r="B430" s="42">
        <v>0.13407086397900328</v>
      </c>
      <c r="C430" s="42">
        <v>59413.586840418713</v>
      </c>
      <c r="D430" s="42">
        <v>498.96694845423747</v>
      </c>
      <c r="E430" s="42">
        <v>354.50727866451001</v>
      </c>
      <c r="F430">
        <f t="shared" si="42"/>
        <v>-59413.586840418713</v>
      </c>
      <c r="G430">
        <f t="shared" si="43"/>
        <v>8226.0710470900594</v>
      </c>
      <c r="H430">
        <f t="shared" si="44"/>
        <v>11693.103122043518</v>
      </c>
      <c r="I430">
        <f t="shared" si="45"/>
        <v>28632.242805261387</v>
      </c>
      <c r="J430">
        <f t="shared" si="46"/>
        <v>15710.575273903623</v>
      </c>
      <c r="K430">
        <f t="shared" si="47"/>
        <v>27380.625629444257</v>
      </c>
      <c r="L430" s="42">
        <f t="shared" si="48"/>
        <v>656.70442677991741</v>
      </c>
    </row>
    <row r="431" spans="2:12">
      <c r="B431" s="42">
        <v>0.16312448500015261</v>
      </c>
      <c r="C431" s="42">
        <v>58134.403515732294</v>
      </c>
      <c r="D431" s="42">
        <v>463.70586260567035</v>
      </c>
      <c r="E431" s="42">
        <v>344.40412610248114</v>
      </c>
      <c r="F431">
        <f t="shared" si="42"/>
        <v>-58134.403515732294</v>
      </c>
      <c r="G431">
        <f t="shared" si="43"/>
        <v>6530.7861568041026</v>
      </c>
      <c r="H431">
        <f t="shared" si="44"/>
        <v>9394.0278328806453</v>
      </c>
      <c r="I431">
        <f t="shared" si="45"/>
        <v>24777.327799310282</v>
      </c>
      <c r="J431">
        <f t="shared" si="46"/>
        <v>13486.374095889158</v>
      </c>
      <c r="K431">
        <f t="shared" si="47"/>
        <v>24924.251838740194</v>
      </c>
      <c r="L431" s="42">
        <f t="shared" si="48"/>
        <v>-10752.580157382965</v>
      </c>
    </row>
    <row r="432" spans="2:12">
      <c r="B432" s="42">
        <v>0.18551286355174415</v>
      </c>
      <c r="C432" s="42">
        <v>58351.237525559249</v>
      </c>
      <c r="D432" s="42">
        <v>509.24558244575337</v>
      </c>
      <c r="E432" s="42">
        <v>347.26828821680351</v>
      </c>
      <c r="F432">
        <f t="shared" si="42"/>
        <v>-58351.237525559249</v>
      </c>
      <c r="G432">
        <f t="shared" si="43"/>
        <v>9534.9732963042115</v>
      </c>
      <c r="H432">
        <f t="shared" si="44"/>
        <v>13422.428357799006</v>
      </c>
      <c r="I432">
        <f t="shared" si="45"/>
        <v>31059.514145329144</v>
      </c>
      <c r="J432">
        <f t="shared" si="46"/>
        <v>17173.657032990508</v>
      </c>
      <c r="K432">
        <f t="shared" si="47"/>
        <v>28748.440809350872</v>
      </c>
      <c r="L432" s="42">
        <f t="shared" si="48"/>
        <v>-1145.6102849665895</v>
      </c>
    </row>
    <row r="433" spans="2:12">
      <c r="B433" s="42">
        <v>0.13614612262337109</v>
      </c>
      <c r="C433" s="42">
        <v>59332.255012665184</v>
      </c>
      <c r="D433" s="42">
        <v>504.66780602435375</v>
      </c>
      <c r="E433" s="42">
        <v>324.01165807061983</v>
      </c>
      <c r="F433">
        <f t="shared" si="42"/>
        <v>-59332.255012665184</v>
      </c>
      <c r="G433">
        <f t="shared" si="43"/>
        <v>11070.48158207953</v>
      </c>
      <c r="H433">
        <f t="shared" si="44"/>
        <v>15406.229132969147</v>
      </c>
      <c r="I433">
        <f t="shared" si="45"/>
        <v>33368.007446516305</v>
      </c>
      <c r="J433">
        <f t="shared" si="46"/>
        <v>18640.498672444839</v>
      </c>
      <c r="K433">
        <f t="shared" si="47"/>
        <v>29834.020813623458</v>
      </c>
      <c r="L433" s="42">
        <f t="shared" si="48"/>
        <v>12045.837391353429</v>
      </c>
    </row>
    <row r="434" spans="2:12">
      <c r="B434" s="42">
        <v>0.14154484694967498</v>
      </c>
      <c r="C434" s="42">
        <v>55537.430951872309</v>
      </c>
      <c r="D434" s="42">
        <v>518.3339945677053</v>
      </c>
      <c r="E434" s="42">
        <v>353.7641529587695</v>
      </c>
      <c r="F434">
        <f t="shared" si="42"/>
        <v>-55537.430951872309</v>
      </c>
      <c r="G434">
        <f t="shared" si="43"/>
        <v>9660.5813776055184</v>
      </c>
      <c r="H434">
        <f t="shared" si="44"/>
        <v>13610.257576219981</v>
      </c>
      <c r="I434">
        <f t="shared" si="45"/>
        <v>31554.951628162478</v>
      </c>
      <c r="J434">
        <f t="shared" si="46"/>
        <v>17435.5912961211</v>
      </c>
      <c r="K434">
        <f t="shared" si="47"/>
        <v>29132.485732596819</v>
      </c>
      <c r="L434" s="42">
        <f t="shared" si="48"/>
        <v>9877.8588088893885</v>
      </c>
    </row>
    <row r="435" spans="2:12">
      <c r="B435" s="42">
        <v>0.17136448255867184</v>
      </c>
      <c r="C435" s="42">
        <v>57790.307321390421</v>
      </c>
      <c r="D435" s="42">
        <v>539.40092165898614</v>
      </c>
      <c r="E435" s="42">
        <v>361.58146916104619</v>
      </c>
      <c r="F435">
        <f t="shared" si="42"/>
        <v>-57790.307321390421</v>
      </c>
      <c r="G435">
        <f t="shared" si="43"/>
        <v>10530.947904904322</v>
      </c>
      <c r="H435">
        <f t="shared" si="44"/>
        <v>14798.614764854879</v>
      </c>
      <c r="I435">
        <f t="shared" si="45"/>
        <v>33630.106509598067</v>
      </c>
      <c r="J435">
        <f t="shared" si="46"/>
        <v>18621.961729789113</v>
      </c>
      <c r="K435">
        <f t="shared" si="47"/>
        <v>30486.067079683824</v>
      </c>
      <c r="L435" s="42">
        <f t="shared" si="48"/>
        <v>6625.4148790574582</v>
      </c>
    </row>
    <row r="436" spans="2:12">
      <c r="B436" s="42">
        <v>0.14010742515335553</v>
      </c>
      <c r="C436" s="42">
        <v>55884.121219519642</v>
      </c>
      <c r="D436" s="42">
        <v>454.40076906643878</v>
      </c>
      <c r="E436" s="42">
        <v>340.83346049378946</v>
      </c>
      <c r="F436">
        <f t="shared" si="42"/>
        <v>-55884.121219519642</v>
      </c>
      <c r="G436">
        <f t="shared" si="43"/>
        <v>6155.7777642139972</v>
      </c>
      <c r="H436">
        <f t="shared" si="44"/>
        <v>8881.3931699575805</v>
      </c>
      <c r="I436">
        <f t="shared" si="45"/>
        <v>23875.829340495013</v>
      </c>
      <c r="J436">
        <f t="shared" si="46"/>
        <v>12971.789300210579</v>
      </c>
      <c r="K436">
        <f t="shared" si="47"/>
        <v>24333.92620624409</v>
      </c>
      <c r="L436" s="42">
        <f t="shared" si="48"/>
        <v>-7231.4472258883397</v>
      </c>
    </row>
    <row r="437" spans="2:12">
      <c r="B437" s="42">
        <v>0.12053590502639852</v>
      </c>
      <c r="C437" s="42">
        <v>55686.361278115175</v>
      </c>
      <c r="D437" s="42">
        <v>531.56987212744525</v>
      </c>
      <c r="E437" s="42">
        <v>338.20276497695852</v>
      </c>
      <c r="F437">
        <f t="shared" si="42"/>
        <v>-55686.361278115175</v>
      </c>
      <c r="G437">
        <f t="shared" si="43"/>
        <v>11845.239722891933</v>
      </c>
      <c r="H437">
        <f t="shared" si="44"/>
        <v>16486.050294503613</v>
      </c>
      <c r="I437">
        <f t="shared" si="45"/>
        <v>35479.247413556317</v>
      </c>
      <c r="J437">
        <f t="shared" si="46"/>
        <v>19818.787804803611</v>
      </c>
      <c r="K437">
        <f t="shared" si="47"/>
        <v>31293.171788689837</v>
      </c>
      <c r="L437" s="42">
        <f t="shared" si="48"/>
        <v>23517.195450005413</v>
      </c>
    </row>
    <row r="438" spans="2:12">
      <c r="B438" s="42">
        <v>0.18542741172521135</v>
      </c>
      <c r="C438" s="42">
        <v>55755.027924436174</v>
      </c>
      <c r="D438" s="42">
        <v>513.20078127384261</v>
      </c>
      <c r="E438" s="42">
        <v>336.00390636921293</v>
      </c>
      <c r="F438">
        <f t="shared" ref="F438:F501" si="49">-C438</f>
        <v>-55755.027924436174</v>
      </c>
      <c r="G438">
        <f t="shared" ref="G438:G501" si="50">((D438-E438)*$E$14-$E$18-$E$20)*(1-0.2)+$E$20-0.3*($F$14*D438-$E$14*D438)</f>
        <v>10716.942960905792</v>
      </c>
      <c r="H438">
        <f t="shared" ref="H438:H501" si="51">($F$14*(D438-E438)-$F$18-$F$20)*0.8+$F$20-0.3*($G$14*D438-$F$14*D438)</f>
        <v>14969.667958616905</v>
      </c>
      <c r="I438">
        <f t="shared" ref="I438:I501" si="52">($G$14*(D438-E438)-$G$18-$G$20)*0.8+$H$20-0.3*($H$14*D438-$G$14*D438)</f>
        <v>33078.814050721761</v>
      </c>
      <c r="J438">
        <f t="shared" ref="J438:J501" si="53">($H$14*(D438-E438)-$H$18-$H$20)*0.8+$H$20-0.3*($I$14*D438-$H$14*D438)</f>
        <v>18414.95468001343</v>
      </c>
      <c r="K438">
        <f t="shared" ref="K438:K501" si="54">($I$14*(D438-E438)-$I$18-$I$20)*0.8+$I$20+$I$14*D438*0.3+$I$31</f>
        <v>29817.418744468523</v>
      </c>
      <c r="L438" s="42">
        <f t="shared" ref="L438:L501" si="55">F438+G438/(1+B438)^1+H438/(1+B438)^2+I438/(1+B438)^3+J438/(1+B438)^4+K438/(1+B438)^5</f>
        <v>5859.1229842195517</v>
      </c>
    </row>
    <row r="439" spans="2:12">
      <c r="B439" s="42">
        <v>0.12374645222327342</v>
      </c>
      <c r="C439" s="42">
        <v>56160.313730277412</v>
      </c>
      <c r="D439" s="42">
        <v>540.00213629566338</v>
      </c>
      <c r="E439" s="42">
        <v>362.00720236823634</v>
      </c>
      <c r="F439">
        <f t="shared" si="49"/>
        <v>-56160.313730277412</v>
      </c>
      <c r="G439">
        <f t="shared" si="50"/>
        <v>10539.575487533195</v>
      </c>
      <c r="H439">
        <f t="shared" si="51"/>
        <v>14811.453901791439</v>
      </c>
      <c r="I439">
        <f t="shared" si="52"/>
        <v>33663.389996032602</v>
      </c>
      <c r="J439">
        <f t="shared" si="53"/>
        <v>18639.607531968144</v>
      </c>
      <c r="K439">
        <f t="shared" si="54"/>
        <v>30511.72704245125</v>
      </c>
      <c r="L439" s="42">
        <f t="shared" si="55"/>
        <v>17384.848815129568</v>
      </c>
    </row>
    <row r="440" spans="2:12">
      <c r="B440" s="42">
        <v>0.10528580584124272</v>
      </c>
      <c r="C440" s="42">
        <v>56187.475203711052</v>
      </c>
      <c r="D440" s="42">
        <v>461.24912259285259</v>
      </c>
      <c r="E440" s="42">
        <v>333.37168492690819</v>
      </c>
      <c r="F440">
        <f t="shared" si="49"/>
        <v>-56187.475203711052</v>
      </c>
      <c r="G440">
        <f t="shared" si="50"/>
        <v>7238.9529099398778</v>
      </c>
      <c r="H440">
        <f t="shared" si="51"/>
        <v>10308.011413922546</v>
      </c>
      <c r="I440">
        <f t="shared" si="52"/>
        <v>25830.796227912229</v>
      </c>
      <c r="J440">
        <f t="shared" si="53"/>
        <v>14157.689748832669</v>
      </c>
      <c r="K440">
        <f t="shared" si="54"/>
        <v>25414.134952848901</v>
      </c>
      <c r="L440" s="42">
        <f t="shared" si="55"/>
        <v>2822.2894987024138</v>
      </c>
    </row>
    <row r="441" spans="2:12">
      <c r="B441" s="42">
        <v>0.13477889339884641</v>
      </c>
      <c r="C441" s="42">
        <v>58551.744132816551</v>
      </c>
      <c r="D441" s="42">
        <v>492.3108615375225</v>
      </c>
      <c r="E441" s="42">
        <v>323.37382122257151</v>
      </c>
      <c r="F441">
        <f t="shared" si="49"/>
        <v>-58551.744132816551</v>
      </c>
      <c r="G441">
        <f t="shared" si="50"/>
        <v>10244.165471358378</v>
      </c>
      <c r="H441">
        <f t="shared" si="51"/>
        <v>14298.654438917205</v>
      </c>
      <c r="I441">
        <f t="shared" si="52"/>
        <v>31645.53666798913</v>
      </c>
      <c r="J441">
        <f t="shared" si="53"/>
        <v>17628.828394421216</v>
      </c>
      <c r="K441">
        <f t="shared" si="54"/>
        <v>28787.431257057404</v>
      </c>
      <c r="L441" s="42">
        <f t="shared" si="55"/>
        <v>9165.0903517802781</v>
      </c>
    </row>
    <row r="442" spans="2:12">
      <c r="B442" s="42">
        <v>0.18308359019745477</v>
      </c>
      <c r="C442" s="42">
        <v>56278.420361949524</v>
      </c>
      <c r="D442" s="42">
        <v>465.4301583910642</v>
      </c>
      <c r="E442" s="42">
        <v>359.40244758445999</v>
      </c>
      <c r="F442">
        <f t="shared" si="49"/>
        <v>-56278.420361949524</v>
      </c>
      <c r="G442">
        <f t="shared" si="50"/>
        <v>5453.3454390087581</v>
      </c>
      <c r="H442">
        <f t="shared" si="51"/>
        <v>7998.01049836726</v>
      </c>
      <c r="I442">
        <f t="shared" si="52"/>
        <v>23109.289834284493</v>
      </c>
      <c r="J442">
        <f t="shared" si="53"/>
        <v>12434.797814874721</v>
      </c>
      <c r="K442">
        <f t="shared" si="54"/>
        <v>24116.09729300821</v>
      </c>
      <c r="L442" s="42">
        <f t="shared" si="55"/>
        <v>-15247.675413613093</v>
      </c>
    </row>
    <row r="443" spans="2:12">
      <c r="B443" s="42">
        <v>0.10044862208929717</v>
      </c>
      <c r="C443" s="42">
        <v>55130.314035462507</v>
      </c>
      <c r="D443" s="42">
        <v>544.96749778740809</v>
      </c>
      <c r="E443" s="42">
        <v>353.21329386272777</v>
      </c>
      <c r="F443">
        <f t="shared" si="49"/>
        <v>-55130.314035462507</v>
      </c>
      <c r="G443">
        <f t="shared" si="50"/>
        <v>11595.628833887751</v>
      </c>
      <c r="H443">
        <f t="shared" si="51"/>
        <v>16197.729728080079</v>
      </c>
      <c r="I443">
        <f t="shared" si="52"/>
        <v>35513.953062532426</v>
      </c>
      <c r="J443">
        <f t="shared" si="53"/>
        <v>19770.141300698873</v>
      </c>
      <c r="K443">
        <f t="shared" si="54"/>
        <v>31511.488998077337</v>
      </c>
      <c r="L443" s="42">
        <f t="shared" si="55"/>
        <v>28439.620935151073</v>
      </c>
    </row>
    <row r="444" spans="2:12">
      <c r="B444" s="42">
        <v>0.19368266853846861</v>
      </c>
      <c r="C444" s="42">
        <v>55019.379253517262</v>
      </c>
      <c r="D444" s="42">
        <v>466.2602618488113</v>
      </c>
      <c r="E444" s="42">
        <v>331.1209448530534</v>
      </c>
      <c r="F444">
        <f t="shared" si="49"/>
        <v>-55019.379253517262</v>
      </c>
      <c r="G444">
        <f t="shared" si="50"/>
        <v>7774.8030030213285</v>
      </c>
      <c r="H444">
        <f t="shared" si="51"/>
        <v>11018.146610919521</v>
      </c>
      <c r="I444">
        <f t="shared" si="52"/>
        <v>26850.517288735617</v>
      </c>
      <c r="J444">
        <f t="shared" si="53"/>
        <v>14768.706930753498</v>
      </c>
      <c r="K444">
        <f t="shared" si="54"/>
        <v>25999.162572099976</v>
      </c>
      <c r="L444" s="42">
        <f t="shared" si="55"/>
        <v>-6984.7566793046281</v>
      </c>
    </row>
    <row r="445" spans="2:12">
      <c r="B445" s="42">
        <v>0.13145847956785792</v>
      </c>
      <c r="C445" s="42">
        <v>58854.487746818442</v>
      </c>
      <c r="D445" s="42">
        <v>502.9221472823267</v>
      </c>
      <c r="E445" s="42">
        <v>349.32065797906432</v>
      </c>
      <c r="F445">
        <f t="shared" si="49"/>
        <v>-58854.487746818442</v>
      </c>
      <c r="G445">
        <f t="shared" si="50"/>
        <v>8921.8198187200524</v>
      </c>
      <c r="H445">
        <f t="shared" si="51"/>
        <v>12608.25556199835</v>
      </c>
      <c r="I445">
        <f t="shared" si="52"/>
        <v>29873.589281899462</v>
      </c>
      <c r="J445">
        <f t="shared" si="53"/>
        <v>16465.652027954955</v>
      </c>
      <c r="K445">
        <f t="shared" si="54"/>
        <v>28060.626850184632</v>
      </c>
      <c r="L445" s="42">
        <f t="shared" si="55"/>
        <v>4682.3597180079942</v>
      </c>
    </row>
    <row r="446" spans="2:12">
      <c r="B446" s="42">
        <v>0.15531785027619252</v>
      </c>
      <c r="C446" s="42">
        <v>57358.317819757685</v>
      </c>
      <c r="D446" s="42">
        <v>500.63325907162692</v>
      </c>
      <c r="E446" s="42">
        <v>324.08185064241462</v>
      </c>
      <c r="F446">
        <f t="shared" si="49"/>
        <v>-57358.317819757685</v>
      </c>
      <c r="G446">
        <f t="shared" si="50"/>
        <v>10778.413342692344</v>
      </c>
      <c r="H446">
        <f t="shared" si="51"/>
        <v>15015.647144993438</v>
      </c>
      <c r="I446">
        <f t="shared" si="52"/>
        <v>32769.978942228459</v>
      </c>
      <c r="J446">
        <f t="shared" si="53"/>
        <v>18287.912228766749</v>
      </c>
      <c r="K446">
        <f t="shared" si="54"/>
        <v>29474.488357188631</v>
      </c>
      <c r="L446" s="42">
        <f t="shared" si="55"/>
        <v>9056.2482614148794</v>
      </c>
    </row>
    <row r="447" spans="2:12">
      <c r="B447" s="42">
        <v>0.1533799249244667</v>
      </c>
      <c r="C447" s="42">
        <v>59183.782464064454</v>
      </c>
      <c r="D447" s="42">
        <v>506.4378795739616</v>
      </c>
      <c r="E447" s="42">
        <v>331.32999664296398</v>
      </c>
      <c r="F447">
        <f t="shared" si="49"/>
        <v>-59183.782464064454</v>
      </c>
      <c r="G447">
        <f t="shared" si="50"/>
        <v>10610.689718314157</v>
      </c>
      <c r="H447">
        <f t="shared" si="51"/>
        <v>14813.2789086581</v>
      </c>
      <c r="I447">
        <f t="shared" si="52"/>
        <v>32689.690847499005</v>
      </c>
      <c r="J447">
        <f t="shared" si="53"/>
        <v>18207.257911923582</v>
      </c>
      <c r="K447">
        <f t="shared" si="54"/>
        <v>29521.413617358929</v>
      </c>
      <c r="L447" s="42">
        <f t="shared" si="55"/>
        <v>7209.0050981481781</v>
      </c>
    </row>
    <row r="448" spans="2:12">
      <c r="B448" s="42">
        <v>0.1566667683950316</v>
      </c>
      <c r="C448" s="42">
        <v>57772.606585894348</v>
      </c>
      <c r="D448" s="42">
        <v>476.13910336619159</v>
      </c>
      <c r="E448" s="42">
        <v>331.162144840846</v>
      </c>
      <c r="F448">
        <f t="shared" si="49"/>
        <v>-57772.606585894348</v>
      </c>
      <c r="G448">
        <f t="shared" si="50"/>
        <v>8472.9047517319232</v>
      </c>
      <c r="H448">
        <f t="shared" si="51"/>
        <v>11952.35175634022</v>
      </c>
      <c r="I448">
        <f t="shared" si="52"/>
        <v>28287.554551835681</v>
      </c>
      <c r="J448">
        <f t="shared" si="53"/>
        <v>15614.991302224798</v>
      </c>
      <c r="K448">
        <f t="shared" si="54"/>
        <v>26865.863826410714</v>
      </c>
      <c r="L448" s="42">
        <f t="shared" si="55"/>
        <v>-1533.3319235270301</v>
      </c>
    </row>
    <row r="449" spans="2:12">
      <c r="B449" s="42">
        <v>0.18520767845698416</v>
      </c>
      <c r="C449" s="42">
        <v>55480.513931699577</v>
      </c>
      <c r="D449" s="42">
        <v>503.87127292703025</v>
      </c>
      <c r="E449" s="42">
        <v>343.37412640766627</v>
      </c>
      <c r="F449">
        <f t="shared" si="49"/>
        <v>-55480.513931699577</v>
      </c>
      <c r="G449">
        <f t="shared" si="50"/>
        <v>9464.930265205845</v>
      </c>
      <c r="H449">
        <f t="shared" si="51"/>
        <v>13316.861781670583</v>
      </c>
      <c r="I449">
        <f t="shared" si="52"/>
        <v>30773.317667165134</v>
      </c>
      <c r="J449">
        <f t="shared" si="53"/>
        <v>17022.999359111298</v>
      </c>
      <c r="K449">
        <f t="shared" si="54"/>
        <v>28524.72792748802</v>
      </c>
      <c r="L449" s="42">
        <f t="shared" si="55"/>
        <v>1293.1203569818572</v>
      </c>
    </row>
    <row r="450" spans="2:12">
      <c r="B450" s="42">
        <v>0.14195684682760096</v>
      </c>
      <c r="C450" s="42">
        <v>57132.023071993164</v>
      </c>
      <c r="D450" s="42">
        <v>465.59801019318218</v>
      </c>
      <c r="E450" s="42">
        <v>367.29758598590047</v>
      </c>
      <c r="F450">
        <f t="shared" si="49"/>
        <v>-57132.023071993164</v>
      </c>
      <c r="G450">
        <f t="shared" si="50"/>
        <v>4833.6518448438983</v>
      </c>
      <c r="H450">
        <f t="shared" si="51"/>
        <v>7192.8620258186575</v>
      </c>
      <c r="I450">
        <f t="shared" si="52"/>
        <v>22123.218482009339</v>
      </c>
      <c r="J450">
        <f t="shared" si="53"/>
        <v>11817.621997741629</v>
      </c>
      <c r="K450">
        <f t="shared" si="54"/>
        <v>23625.579393902401</v>
      </c>
      <c r="L450" s="42">
        <f t="shared" si="55"/>
        <v>-13412.855231714957</v>
      </c>
    </row>
    <row r="451" spans="2:12">
      <c r="B451" s="42">
        <v>0.1218878749961852</v>
      </c>
      <c r="C451" s="42">
        <v>55031.43406476028</v>
      </c>
      <c r="D451" s="42">
        <v>529.38169499801631</v>
      </c>
      <c r="E451" s="42">
        <v>351.82470168156988</v>
      </c>
      <c r="F451">
        <f t="shared" si="49"/>
        <v>-55031.43406476028</v>
      </c>
      <c r="G451">
        <f t="shared" si="50"/>
        <v>10600.124210333568</v>
      </c>
      <c r="H451">
        <f t="shared" si="51"/>
        <v>14861.492049928283</v>
      </c>
      <c r="I451">
        <f t="shared" si="52"/>
        <v>33416.165654469442</v>
      </c>
      <c r="J451">
        <f t="shared" si="53"/>
        <v>18540.849635303814</v>
      </c>
      <c r="K451">
        <f t="shared" si="54"/>
        <v>30228.808252204966</v>
      </c>
      <c r="L451" s="42">
        <f t="shared" si="55"/>
        <v>18602.517876259535</v>
      </c>
    </row>
    <row r="452" spans="2:12">
      <c r="B452" s="42">
        <v>0.14965666676839504</v>
      </c>
      <c r="C452" s="42">
        <v>56134.372997222818</v>
      </c>
      <c r="D452" s="42">
        <v>489.91210669270913</v>
      </c>
      <c r="E452" s="42">
        <v>340.4672383800775</v>
      </c>
      <c r="F452">
        <f t="shared" si="49"/>
        <v>-56134.372997222818</v>
      </c>
      <c r="G452">
        <f t="shared" si="50"/>
        <v>8706.3805047761452</v>
      </c>
      <c r="H452">
        <f t="shared" si="51"/>
        <v>12293.05734427931</v>
      </c>
      <c r="I452">
        <f t="shared" si="52"/>
        <v>29107.361064485613</v>
      </c>
      <c r="J452">
        <f t="shared" si="53"/>
        <v>16055.062105166784</v>
      </c>
      <c r="K452">
        <f t="shared" si="54"/>
        <v>27482.362132633443</v>
      </c>
      <c r="L452" s="42">
        <f t="shared" si="55"/>
        <v>2769.7479089894241</v>
      </c>
    </row>
    <row r="453" spans="2:12">
      <c r="B453" s="42">
        <v>0.15931272316660056</v>
      </c>
      <c r="C453" s="42">
        <v>55216.986602374338</v>
      </c>
      <c r="D453" s="42">
        <v>506.32801293984801</v>
      </c>
      <c r="E453" s="42">
        <v>339.52726828821682</v>
      </c>
      <c r="F453">
        <f t="shared" si="49"/>
        <v>-55216.986602374338</v>
      </c>
      <c r="G453">
        <f t="shared" si="50"/>
        <v>9947.1074556718613</v>
      </c>
      <c r="H453">
        <f t="shared" si="51"/>
        <v>13950.325327311009</v>
      </c>
      <c r="I453">
        <f t="shared" si="52"/>
        <v>31624.399548326059</v>
      </c>
      <c r="J453">
        <f t="shared" si="53"/>
        <v>17542.027649769581</v>
      </c>
      <c r="K453">
        <f t="shared" si="54"/>
        <v>28987.119968260748</v>
      </c>
      <c r="L453" s="42">
        <f t="shared" si="55"/>
        <v>7592.7209777183289</v>
      </c>
    </row>
    <row r="454" spans="2:12">
      <c r="B454" s="42">
        <v>0.11450849940488907</v>
      </c>
      <c r="C454" s="42">
        <v>56095.461897640918</v>
      </c>
      <c r="D454" s="42">
        <v>452.06610309152501</v>
      </c>
      <c r="E454" s="42">
        <v>347.3583178197577</v>
      </c>
      <c r="F454">
        <f t="shared" si="49"/>
        <v>-56095.461897640918</v>
      </c>
      <c r="G454">
        <f t="shared" si="50"/>
        <v>5468.0278939176587</v>
      </c>
      <c r="H454">
        <f t="shared" si="51"/>
        <v>7981.0147404400759</v>
      </c>
      <c r="I454">
        <f t="shared" si="52"/>
        <v>22699.786370433667</v>
      </c>
      <c r="J454">
        <f t="shared" si="53"/>
        <v>12249.019440290534</v>
      </c>
      <c r="K454">
        <f t="shared" si="54"/>
        <v>23710.884731589707</v>
      </c>
      <c r="L454" s="42">
        <f t="shared" si="55"/>
        <v>-6638.7215640013128</v>
      </c>
    </row>
    <row r="455" spans="2:12">
      <c r="B455" s="42">
        <v>0.15731376079592274</v>
      </c>
      <c r="C455" s="42">
        <v>56865.596484267706</v>
      </c>
      <c r="D455" s="42">
        <v>512.85287026581625</v>
      </c>
      <c r="E455" s="42">
        <v>333.91491439558092</v>
      </c>
      <c r="F455">
        <f t="shared" si="49"/>
        <v>-56865.596484267706</v>
      </c>
      <c r="G455">
        <f t="shared" si="50"/>
        <v>10859.360637226479</v>
      </c>
      <c r="H455">
        <f t="shared" si="51"/>
        <v>15153.871578112126</v>
      </c>
      <c r="I455">
        <f t="shared" si="52"/>
        <v>33295.410016174814</v>
      </c>
      <c r="J455">
        <f t="shared" si="53"/>
        <v>18552.15369121372</v>
      </c>
      <c r="K455">
        <f t="shared" si="54"/>
        <v>29920.49806207465</v>
      </c>
      <c r="L455" s="42">
        <f t="shared" si="55"/>
        <v>10064.909361807362</v>
      </c>
    </row>
    <row r="456" spans="2:12">
      <c r="B456" s="42">
        <v>0.17104098635822626</v>
      </c>
      <c r="C456" s="42">
        <v>55371.715445417649</v>
      </c>
      <c r="D456" s="42">
        <v>537.61864070558795</v>
      </c>
      <c r="E456" s="42">
        <v>343.87768181402021</v>
      </c>
      <c r="F456">
        <f t="shared" si="49"/>
        <v>-55371.715445417649</v>
      </c>
      <c r="G456">
        <f t="shared" si="50"/>
        <v>11820.708944975133</v>
      </c>
      <c r="H456">
        <f t="shared" si="51"/>
        <v>16470.491958372753</v>
      </c>
      <c r="I456">
        <f t="shared" si="52"/>
        <v>35635.978270821251</v>
      </c>
      <c r="J456">
        <f t="shared" si="53"/>
        <v>19884.98855555895</v>
      </c>
      <c r="K456">
        <f t="shared" si="54"/>
        <v>31462.268745994446</v>
      </c>
      <c r="L456" s="42">
        <f t="shared" si="55"/>
        <v>13784.345655501931</v>
      </c>
    </row>
    <row r="457" spans="2:12">
      <c r="B457" s="42">
        <v>0.15143589587084569</v>
      </c>
      <c r="C457" s="42">
        <v>58317.972350230411</v>
      </c>
      <c r="D457" s="42">
        <v>488.60896633808403</v>
      </c>
      <c r="E457" s="42">
        <v>330.74098941007719</v>
      </c>
      <c r="F457">
        <f t="shared" si="49"/>
        <v>-58317.972350230411</v>
      </c>
      <c r="G457">
        <f t="shared" si="50"/>
        <v>9391.9574571977937</v>
      </c>
      <c r="H457">
        <f t="shared" si="51"/>
        <v>13180.788903469955</v>
      </c>
      <c r="I457">
        <f t="shared" si="52"/>
        <v>30162.062440870388</v>
      </c>
      <c r="J457">
        <f t="shared" si="53"/>
        <v>16721.091952269053</v>
      </c>
      <c r="K457">
        <f t="shared" si="54"/>
        <v>27990.165715506453</v>
      </c>
      <c r="L457" s="42">
        <f t="shared" si="55"/>
        <v>2880.6785171253559</v>
      </c>
    </row>
    <row r="458" spans="2:12">
      <c r="B458" s="42">
        <v>0.15152745139927368</v>
      </c>
      <c r="C458" s="42">
        <v>57201.605273598434</v>
      </c>
      <c r="D458" s="42">
        <v>469.87670522171697</v>
      </c>
      <c r="E458" s="42">
        <v>367.92016357921079</v>
      </c>
      <c r="F458">
        <f t="shared" si="49"/>
        <v>-57201.605273598434</v>
      </c>
      <c r="G458">
        <f t="shared" si="50"/>
        <v>5087.6329844050433</v>
      </c>
      <c r="H458">
        <f t="shared" si="51"/>
        <v>7534.5899838251871</v>
      </c>
      <c r="I458">
        <f t="shared" si="52"/>
        <v>22668.218024231697</v>
      </c>
      <c r="J458">
        <f t="shared" si="53"/>
        <v>12135.783562730796</v>
      </c>
      <c r="K458">
        <f t="shared" si="54"/>
        <v>23962.259590441601</v>
      </c>
      <c r="L458" s="42">
        <f t="shared" si="55"/>
        <v>-13519.222882605789</v>
      </c>
    </row>
    <row r="459" spans="2:12">
      <c r="B459" s="42">
        <v>0.15940733054597614</v>
      </c>
      <c r="C459" s="42">
        <v>57237.922299874874</v>
      </c>
      <c r="D459" s="42">
        <v>543.02652058473461</v>
      </c>
      <c r="E459" s="42">
        <v>344.01043733024079</v>
      </c>
      <c r="F459">
        <f t="shared" si="49"/>
        <v>-57237.922299874874</v>
      </c>
      <c r="G459">
        <f t="shared" si="50"/>
        <v>12194.047975096897</v>
      </c>
      <c r="H459">
        <f t="shared" si="51"/>
        <v>16970.433973204748</v>
      </c>
      <c r="I459">
        <f t="shared" si="52"/>
        <v>36408.536027100432</v>
      </c>
      <c r="J459">
        <f t="shared" si="53"/>
        <v>20339.445783867915</v>
      </c>
      <c r="K459">
        <f t="shared" si="54"/>
        <v>31929.665822321236</v>
      </c>
      <c r="L459" s="42">
        <f t="shared" si="55"/>
        <v>15762.758820068097</v>
      </c>
    </row>
    <row r="460" spans="2:12">
      <c r="B460" s="42">
        <v>0.16536149174474318</v>
      </c>
      <c r="C460" s="42">
        <v>57241.584521011995</v>
      </c>
      <c r="D460" s="42">
        <v>463.69365520187995</v>
      </c>
      <c r="E460" s="42">
        <v>335.06393627735224</v>
      </c>
      <c r="F460">
        <f t="shared" si="49"/>
        <v>-57241.584521011995</v>
      </c>
      <c r="G460">
        <f t="shared" si="50"/>
        <v>7277.1346171452979</v>
      </c>
      <c r="H460">
        <f t="shared" si="51"/>
        <v>10364.247871333962</v>
      </c>
      <c r="I460">
        <f t="shared" si="52"/>
        <v>25971.089815973384</v>
      </c>
      <c r="J460">
        <f t="shared" si="53"/>
        <v>14232.539445173497</v>
      </c>
      <c r="K460">
        <f t="shared" si="54"/>
        <v>25520.949736014889</v>
      </c>
      <c r="L460" s="42">
        <f t="shared" si="55"/>
        <v>-7364.7065018346602</v>
      </c>
    </row>
    <row r="461" spans="2:12">
      <c r="B461" s="42">
        <v>0.14655598620563373</v>
      </c>
      <c r="C461" s="42">
        <v>59696.798608355966</v>
      </c>
      <c r="D461" s="42">
        <v>458.43836787011321</v>
      </c>
      <c r="E461" s="42">
        <v>332.31727042451246</v>
      </c>
      <c r="F461">
        <f t="shared" si="49"/>
        <v>-59696.798608355966</v>
      </c>
      <c r="G461">
        <f t="shared" si="50"/>
        <v>7123.7424848170422</v>
      </c>
      <c r="H461">
        <f t="shared" si="51"/>
        <v>10150.648823511459</v>
      </c>
      <c r="I461">
        <f t="shared" si="52"/>
        <v>25555.391094698934</v>
      </c>
      <c r="J461">
        <f t="shared" si="53"/>
        <v>14000.318002868738</v>
      </c>
      <c r="K461">
        <f t="shared" si="54"/>
        <v>25234.271065401168</v>
      </c>
      <c r="L461" s="42">
        <f t="shared" si="55"/>
        <v>-7970.3522144341696</v>
      </c>
    </row>
    <row r="462" spans="2:12">
      <c r="B462" s="42">
        <v>0.19227271340067753</v>
      </c>
      <c r="C462" s="42">
        <v>56582.689901425212</v>
      </c>
      <c r="D462" s="42">
        <v>522.6432081057161</v>
      </c>
      <c r="E462" s="42">
        <v>369.1424298837245</v>
      </c>
      <c r="F462">
        <f t="shared" si="49"/>
        <v>-56582.689901425212</v>
      </c>
      <c r="G462">
        <f t="shared" si="50"/>
        <v>8736.273384807886</v>
      </c>
      <c r="H462">
        <f t="shared" si="51"/>
        <v>12420.292062135682</v>
      </c>
      <c r="I462">
        <f t="shared" si="52"/>
        <v>30215.677358317815</v>
      </c>
      <c r="J462">
        <f t="shared" si="53"/>
        <v>16575.921506393624</v>
      </c>
      <c r="K462">
        <f t="shared" si="54"/>
        <v>28527.486800744649</v>
      </c>
      <c r="L462" s="42">
        <f t="shared" si="55"/>
        <v>-2645.8222976122652</v>
      </c>
    </row>
    <row r="463" spans="2:12">
      <c r="B463" s="42">
        <v>0.17781304361095004</v>
      </c>
      <c r="C463" s="42">
        <v>58564.714499343849</v>
      </c>
      <c r="D463" s="42">
        <v>478.61415448469495</v>
      </c>
      <c r="E463" s="42">
        <v>328.45057527390361</v>
      </c>
      <c r="F463">
        <f t="shared" si="49"/>
        <v>-58564.714499343849</v>
      </c>
      <c r="G463">
        <f t="shared" si="50"/>
        <v>8865.5589465010526</v>
      </c>
      <c r="H463">
        <f t="shared" si="51"/>
        <v>12469.484847560048</v>
      </c>
      <c r="I463">
        <f t="shared" si="52"/>
        <v>28995.992919705801</v>
      </c>
      <c r="J463">
        <f t="shared" si="53"/>
        <v>16044.771263771476</v>
      </c>
      <c r="K463">
        <f t="shared" si="54"/>
        <v>27257.208777123327</v>
      </c>
      <c r="L463" s="42">
        <f t="shared" si="55"/>
        <v>-3939.8041602770281</v>
      </c>
    </row>
    <row r="464" spans="2:12">
      <c r="B464" s="42">
        <v>0.13138523514511552</v>
      </c>
      <c r="C464" s="42">
        <v>58525.650807214573</v>
      </c>
      <c r="D464" s="42">
        <v>533.26975310525836</v>
      </c>
      <c r="E464" s="42">
        <v>349.5419171727653</v>
      </c>
      <c r="F464">
        <f t="shared" si="49"/>
        <v>-58525.650807214573</v>
      </c>
      <c r="G464">
        <f t="shared" si="50"/>
        <v>11058.799096652117</v>
      </c>
      <c r="H464">
        <f t="shared" si="51"/>
        <v>15468.267159031959</v>
      </c>
      <c r="I464">
        <f t="shared" si="52"/>
        <v>34276.018555253759</v>
      </c>
      <c r="J464">
        <f t="shared" si="53"/>
        <v>19057.845393230997</v>
      </c>
      <c r="K464">
        <f t="shared" si="54"/>
        <v>30717.055574205755</v>
      </c>
      <c r="L464" s="42">
        <f t="shared" si="55"/>
        <v>15202.610731410883</v>
      </c>
    </row>
    <row r="465" spans="2:12">
      <c r="B465" s="42">
        <v>0.15525376140629293</v>
      </c>
      <c r="C465" s="42">
        <v>55741.294595171974</v>
      </c>
      <c r="D465" s="42">
        <v>546.67653431806389</v>
      </c>
      <c r="E465" s="42">
        <v>339.09695730460527</v>
      </c>
      <c r="F465">
        <f t="shared" si="49"/>
        <v>-55741.294595171974</v>
      </c>
      <c r="G465">
        <f t="shared" si="50"/>
        <v>12846.277352214114</v>
      </c>
      <c r="H465">
        <f t="shared" si="51"/>
        <v>17828.187200537122</v>
      </c>
      <c r="I465">
        <f t="shared" si="52"/>
        <v>37570.363475447855</v>
      </c>
      <c r="J465">
        <f t="shared" si="53"/>
        <v>21046.425366985073</v>
      </c>
      <c r="K465">
        <f t="shared" si="54"/>
        <v>32565.329752494887</v>
      </c>
      <c r="L465" s="42">
        <f t="shared" si="55"/>
        <v>20746.401275142431</v>
      </c>
    </row>
    <row r="466" spans="2:12">
      <c r="B466" s="42">
        <v>0.13433637501144444</v>
      </c>
      <c r="C466" s="42">
        <v>59897.762993255412</v>
      </c>
      <c r="D466" s="42">
        <v>489.13998840296642</v>
      </c>
      <c r="E466" s="42">
        <v>337.31925412762843</v>
      </c>
      <c r="F466">
        <f t="shared" si="49"/>
        <v>-59897.762993255412</v>
      </c>
      <c r="G466">
        <f t="shared" si="50"/>
        <v>8903.3988464003414</v>
      </c>
      <c r="H466">
        <f t="shared" si="51"/>
        <v>12547.096469008455</v>
      </c>
      <c r="I466">
        <f t="shared" si="52"/>
        <v>29397.573778496662</v>
      </c>
      <c r="J466">
        <f t="shared" si="53"/>
        <v>16240.498672444839</v>
      </c>
      <c r="K466">
        <f t="shared" si="54"/>
        <v>27615.886715292829</v>
      </c>
      <c r="L466" s="42">
        <f t="shared" si="55"/>
        <v>2357.3329455228522</v>
      </c>
    </row>
    <row r="467" spans="2:12">
      <c r="B467" s="42">
        <v>0.18171636097293009</v>
      </c>
      <c r="C467" s="42">
        <v>55254.06659138768</v>
      </c>
      <c r="D467" s="42">
        <v>519.28922391430399</v>
      </c>
      <c r="E467" s="42">
        <v>340.88381603442485</v>
      </c>
      <c r="F467">
        <f t="shared" si="49"/>
        <v>-55254.06659138768</v>
      </c>
      <c r="G467">
        <f t="shared" si="50"/>
        <v>10758.829615161596</v>
      </c>
      <c r="H467">
        <f t="shared" si="51"/>
        <v>15040.559404278698</v>
      </c>
      <c r="I467">
        <f t="shared" si="52"/>
        <v>33343.098239081999</v>
      </c>
      <c r="J467">
        <f t="shared" si="53"/>
        <v>18548.167973876156</v>
      </c>
      <c r="K467">
        <f t="shared" si="54"/>
        <v>30040.887478255558</v>
      </c>
      <c r="L467" s="42">
        <f t="shared" si="55"/>
        <v>7373.7686611637055</v>
      </c>
    </row>
    <row r="468" spans="2:12">
      <c r="B468" s="42">
        <v>0.12568437757499926</v>
      </c>
      <c r="C468" s="42">
        <v>55190.89327677236</v>
      </c>
      <c r="D468" s="42">
        <v>489.371929074984</v>
      </c>
      <c r="E468" s="42">
        <v>363.79863887447738</v>
      </c>
      <c r="F468">
        <f t="shared" si="49"/>
        <v>-55190.89327677236</v>
      </c>
      <c r="G468">
        <f t="shared" si="50"/>
        <v>6801.5158543656735</v>
      </c>
      <c r="H468">
        <f t="shared" si="51"/>
        <v>9815.2748191778337</v>
      </c>
      <c r="I468">
        <f t="shared" si="52"/>
        <v>26042.075869014559</v>
      </c>
      <c r="J468">
        <f t="shared" si="53"/>
        <v>14142.094790490431</v>
      </c>
      <c r="K468">
        <f t="shared" si="54"/>
        <v>25941.616870632039</v>
      </c>
      <c r="L468" s="42">
        <f t="shared" si="55"/>
        <v>13.354044599109329</v>
      </c>
    </row>
    <row r="469" spans="2:12">
      <c r="B469" s="42">
        <v>0.16549272133548998</v>
      </c>
      <c r="C469" s="42">
        <v>56757.103183080537</v>
      </c>
      <c r="D469" s="42">
        <v>548.08343760490743</v>
      </c>
      <c r="E469" s="42">
        <v>334.34064760277107</v>
      </c>
      <c r="F469">
        <f t="shared" si="49"/>
        <v>-56757.103183080537</v>
      </c>
      <c r="G469">
        <f t="shared" si="50"/>
        <v>13326.672261726742</v>
      </c>
      <c r="H469">
        <f t="shared" si="51"/>
        <v>18456.499221778016</v>
      </c>
      <c r="I469">
        <f t="shared" si="52"/>
        <v>38384.578997161792</v>
      </c>
      <c r="J469">
        <f t="shared" si="53"/>
        <v>21547.923825800353</v>
      </c>
      <c r="K469">
        <f t="shared" si="54"/>
        <v>32993.541062654505</v>
      </c>
      <c r="L469" s="42">
        <f t="shared" si="55"/>
        <v>19529.734797637921</v>
      </c>
    </row>
    <row r="470" spans="2:12">
      <c r="B470" s="42">
        <v>0.19083834345530565</v>
      </c>
      <c r="C470" s="42">
        <v>59305.398724326304</v>
      </c>
      <c r="D470" s="42">
        <v>463.44340342417678</v>
      </c>
      <c r="E470" s="42">
        <v>359.51994384594258</v>
      </c>
      <c r="F470">
        <f t="shared" si="49"/>
        <v>-59305.398724326304</v>
      </c>
      <c r="G470">
        <f t="shared" si="50"/>
        <v>5302.8861354411447</v>
      </c>
      <c r="H470">
        <f t="shared" si="51"/>
        <v>7797.0491653187664</v>
      </c>
      <c r="I470">
        <f t="shared" si="52"/>
        <v>22804.184087649162</v>
      </c>
      <c r="J470">
        <f t="shared" si="53"/>
        <v>12254.537186803796</v>
      </c>
      <c r="K470">
        <f t="shared" si="54"/>
        <v>23933.74309518723</v>
      </c>
      <c r="L470" s="42">
        <f t="shared" si="55"/>
        <v>-19762.342423373688</v>
      </c>
    </row>
    <row r="471" spans="2:12">
      <c r="B471" s="42">
        <v>0.15075838496047853</v>
      </c>
      <c r="C471" s="42">
        <v>56461.836603900265</v>
      </c>
      <c r="D471" s="42">
        <v>497.72179326761682</v>
      </c>
      <c r="E471" s="42">
        <v>334.57564012573624</v>
      </c>
      <c r="F471">
        <f t="shared" si="49"/>
        <v>-56461.836603900265</v>
      </c>
      <c r="G471">
        <f t="shared" si="50"/>
        <v>9732.1961119418957</v>
      </c>
      <c r="H471">
        <f t="shared" si="51"/>
        <v>13647.703787347031</v>
      </c>
      <c r="I471">
        <f t="shared" si="52"/>
        <v>31001.699880977816</v>
      </c>
      <c r="J471">
        <f t="shared" si="53"/>
        <v>17198.023010956149</v>
      </c>
      <c r="K471">
        <f t="shared" si="54"/>
        <v>28546.676839503161</v>
      </c>
      <c r="L471" s="42">
        <f t="shared" si="55"/>
        <v>6598.4069186986962</v>
      </c>
    </row>
    <row r="472" spans="2:12">
      <c r="B472" s="42">
        <v>0.10232856227301859</v>
      </c>
      <c r="C472" s="42">
        <v>57174.901577806937</v>
      </c>
      <c r="D472" s="42">
        <v>539.30326242866295</v>
      </c>
      <c r="E472" s="42">
        <v>349.59685048982209</v>
      </c>
      <c r="F472">
        <f t="shared" si="49"/>
        <v>-57174.901577806937</v>
      </c>
      <c r="G472">
        <f t="shared" si="50"/>
        <v>11482.783593249302</v>
      </c>
      <c r="H472">
        <f t="shared" si="51"/>
        <v>16035.737479781485</v>
      </c>
      <c r="I472">
        <f t="shared" si="52"/>
        <v>35149.879451887566</v>
      </c>
      <c r="J472">
        <f t="shared" si="53"/>
        <v>19572.332529679246</v>
      </c>
      <c r="K472">
        <f t="shared" si="54"/>
        <v>31244.488662373726</v>
      </c>
      <c r="L472" s="42">
        <f t="shared" si="55"/>
        <v>25132.201333291407</v>
      </c>
    </row>
    <row r="473" spans="2:12">
      <c r="B473" s="42">
        <v>0.1859828485976745</v>
      </c>
      <c r="C473" s="42">
        <v>55031.73924985504</v>
      </c>
      <c r="D473" s="42">
        <v>474.81460005493329</v>
      </c>
      <c r="E473" s="42">
        <v>333.05734427930543</v>
      </c>
      <c r="F473">
        <f t="shared" si="49"/>
        <v>-55031.73924985504</v>
      </c>
      <c r="G473">
        <f t="shared" si="50"/>
        <v>8227.2490615558308</v>
      </c>
      <c r="H473">
        <f t="shared" si="51"/>
        <v>11629.423200170902</v>
      </c>
      <c r="I473">
        <f t="shared" si="52"/>
        <v>27851.591540269164</v>
      </c>
      <c r="J473">
        <f t="shared" si="53"/>
        <v>15349.468062379832</v>
      </c>
      <c r="K473">
        <f t="shared" si="54"/>
        <v>26628.01477095858</v>
      </c>
      <c r="L473" s="42">
        <f t="shared" si="55"/>
        <v>-4023.3081718062967</v>
      </c>
    </row>
    <row r="474" spans="2:12">
      <c r="B474" s="42">
        <v>0.1727988525040437</v>
      </c>
      <c r="C474" s="42">
        <v>56061.738944669945</v>
      </c>
      <c r="D474" s="42">
        <v>456.98263496810813</v>
      </c>
      <c r="E474" s="42">
        <v>324.81582079531233</v>
      </c>
      <c r="F474">
        <f t="shared" si="49"/>
        <v>-56061.738944669945</v>
      </c>
      <c r="G474">
        <f t="shared" si="50"/>
        <v>7620.5014191106902</v>
      </c>
      <c r="H474">
        <f t="shared" si="51"/>
        <v>10792.504959257789</v>
      </c>
      <c r="I474">
        <f t="shared" si="52"/>
        <v>26303.039643543809</v>
      </c>
      <c r="J474">
        <f t="shared" si="53"/>
        <v>14475.240943632312</v>
      </c>
      <c r="K474">
        <f t="shared" si="54"/>
        <v>25586.259346293526</v>
      </c>
      <c r="L474" s="42">
        <f t="shared" si="55"/>
        <v>-6229.1761226186209</v>
      </c>
    </row>
    <row r="475" spans="2:12">
      <c r="B475" s="42">
        <v>0.1903988769188513</v>
      </c>
      <c r="C475" s="42">
        <v>59468.977935117648</v>
      </c>
      <c r="D475" s="42">
        <v>485.9111301004059</v>
      </c>
      <c r="E475" s="42">
        <v>364.98886074404123</v>
      </c>
      <c r="F475">
        <f t="shared" si="49"/>
        <v>-59468.977935117648</v>
      </c>
      <c r="G475">
        <f t="shared" si="50"/>
        <v>6460.5813776055211</v>
      </c>
      <c r="H475">
        <f t="shared" si="51"/>
        <v>9362.7158421582717</v>
      </c>
      <c r="I475">
        <f t="shared" si="52"/>
        <v>25384.450819421982</v>
      </c>
      <c r="J475">
        <f t="shared" si="53"/>
        <v>13749.248329111608</v>
      </c>
      <c r="K475">
        <f t="shared" si="54"/>
        <v>25560.89236121708</v>
      </c>
      <c r="L475" s="42">
        <f t="shared" si="55"/>
        <v>-14845.671629388024</v>
      </c>
    </row>
    <row r="476" spans="2:12">
      <c r="B476" s="42">
        <v>0.17938474684896391</v>
      </c>
      <c r="C476" s="42">
        <v>58795.58702352977</v>
      </c>
      <c r="D476" s="42">
        <v>498.17346720786156</v>
      </c>
      <c r="E476" s="42">
        <v>347.51548814355908</v>
      </c>
      <c r="F476">
        <f t="shared" si="49"/>
        <v>-58795.58702352977</v>
      </c>
      <c r="G476">
        <f t="shared" si="50"/>
        <v>8729.077120273445</v>
      </c>
      <c r="H476">
        <f t="shared" si="51"/>
        <v>12344.868617816706</v>
      </c>
      <c r="I476">
        <f t="shared" si="52"/>
        <v>29411.343729972225</v>
      </c>
      <c r="J476">
        <f t="shared" si="53"/>
        <v>16201.679128391368</v>
      </c>
      <c r="K476">
        <f t="shared" si="54"/>
        <v>27758.273873104037</v>
      </c>
      <c r="L476" s="42">
        <f t="shared" si="55"/>
        <v>-4051.2026909150591</v>
      </c>
    </row>
    <row r="477" spans="2:12">
      <c r="B477" s="42">
        <v>0.10928373058259835</v>
      </c>
      <c r="C477" s="42">
        <v>58527.939695425273</v>
      </c>
      <c r="D477" s="42">
        <v>538.22290719321268</v>
      </c>
      <c r="E477" s="42">
        <v>367.63939329203163</v>
      </c>
      <c r="F477">
        <f t="shared" si="49"/>
        <v>-58527.939695425273</v>
      </c>
      <c r="G477">
        <f t="shared" si="50"/>
        <v>9962.6749473555683</v>
      </c>
      <c r="H477">
        <f t="shared" si="51"/>
        <v>14056.679280983924</v>
      </c>
      <c r="I477">
        <f t="shared" si="52"/>
        <v>32682.702108828998</v>
      </c>
      <c r="J477">
        <f t="shared" si="53"/>
        <v>18036.018555253762</v>
      </c>
      <c r="K477">
        <f t="shared" si="54"/>
        <v>29994.69466231269</v>
      </c>
      <c r="L477" s="42">
        <f t="shared" si="55"/>
        <v>15589.859261639849</v>
      </c>
    </row>
    <row r="478" spans="2:12">
      <c r="B478" s="42">
        <v>0.11235389263588368</v>
      </c>
      <c r="C478" s="42">
        <v>58742.942594683678</v>
      </c>
      <c r="D478" s="42">
        <v>515.66057313760791</v>
      </c>
      <c r="E478" s="42">
        <v>348.65993224890894</v>
      </c>
      <c r="F478">
        <f t="shared" si="49"/>
        <v>-58742.942594683678</v>
      </c>
      <c r="G478">
        <f t="shared" si="50"/>
        <v>9879.1061128574474</v>
      </c>
      <c r="H478">
        <f t="shared" si="51"/>
        <v>13887.121494186222</v>
      </c>
      <c r="I478">
        <f t="shared" si="52"/>
        <v>31817.972350230411</v>
      </c>
      <c r="J478">
        <f t="shared" si="53"/>
        <v>17614.014709921568</v>
      </c>
      <c r="K478">
        <f t="shared" si="54"/>
        <v>29223.894772179323</v>
      </c>
      <c r="L478" s="42">
        <f t="shared" si="55"/>
        <v>13144.639114627944</v>
      </c>
    </row>
    <row r="479" spans="2:12">
      <c r="B479" s="42">
        <v>0.12478408154545732</v>
      </c>
      <c r="C479" s="42">
        <v>58685.567796868803</v>
      </c>
      <c r="D479" s="42">
        <v>456.3692129276406</v>
      </c>
      <c r="E479" s="42">
        <v>322.90688802758871</v>
      </c>
      <c r="F479">
        <f t="shared" si="49"/>
        <v>-58685.567796868803</v>
      </c>
      <c r="G479">
        <f t="shared" si="50"/>
        <v>7729.6630756553868</v>
      </c>
      <c r="H479">
        <f t="shared" si="51"/>
        <v>10932.758873256633</v>
      </c>
      <c r="I479">
        <f t="shared" si="52"/>
        <v>26457.823419904176</v>
      </c>
      <c r="J479">
        <f t="shared" si="53"/>
        <v>14575.201269569996</v>
      </c>
      <c r="K479">
        <f t="shared" si="54"/>
        <v>25654.449903866698</v>
      </c>
      <c r="L479" s="42">
        <f t="shared" si="55"/>
        <v>-1222.7306790972652</v>
      </c>
    </row>
    <row r="480" spans="2:12">
      <c r="B480" s="42">
        <v>0.17272865993224892</v>
      </c>
      <c r="C480" s="42">
        <v>59786.217841120641</v>
      </c>
      <c r="D480" s="42">
        <v>467.84112063966796</v>
      </c>
      <c r="E480" s="42">
        <v>348.79116183965573</v>
      </c>
      <c r="F480">
        <f t="shared" si="49"/>
        <v>-59786.217841120641</v>
      </c>
      <c r="G480">
        <f t="shared" si="50"/>
        <v>6473.426618243966</v>
      </c>
      <c r="H480">
        <f t="shared" si="51"/>
        <v>9330.625629444261</v>
      </c>
      <c r="I480">
        <f t="shared" si="52"/>
        <v>24819.53489791559</v>
      </c>
      <c r="J480">
        <f t="shared" si="53"/>
        <v>13491.043427838984</v>
      </c>
      <c r="K480">
        <f t="shared" si="54"/>
        <v>25007.384258552811</v>
      </c>
      <c r="L480" s="42">
        <f t="shared" si="55"/>
        <v>-13686.324766439506</v>
      </c>
    </row>
    <row r="481" spans="2:12">
      <c r="B481" s="42">
        <v>0.17275612659077733</v>
      </c>
      <c r="C481" s="42">
        <v>55198.675496688738</v>
      </c>
      <c r="D481" s="42">
        <v>524.57502975554678</v>
      </c>
      <c r="E481" s="42">
        <v>348.57905819879755</v>
      </c>
      <c r="F481">
        <f t="shared" si="49"/>
        <v>-55198.675496688738</v>
      </c>
      <c r="G481">
        <f t="shared" si="50"/>
        <v>10518.502456740014</v>
      </c>
      <c r="H481">
        <f t="shared" si="51"/>
        <v>14742.405774101997</v>
      </c>
      <c r="I481">
        <f t="shared" si="52"/>
        <v>33129.834894863743</v>
      </c>
      <c r="J481">
        <f t="shared" si="53"/>
        <v>18387.127903073218</v>
      </c>
      <c r="K481">
        <f t="shared" si="54"/>
        <v>30013.542893765072</v>
      </c>
      <c r="L481" s="42">
        <f t="shared" si="55"/>
        <v>8278.9145603586367</v>
      </c>
    </row>
    <row r="482" spans="2:12">
      <c r="B482" s="42">
        <v>0.19240699484237192</v>
      </c>
      <c r="C482" s="42">
        <v>57092.34900967437</v>
      </c>
      <c r="D482" s="42">
        <v>455.10269478438676</v>
      </c>
      <c r="E482" s="42">
        <v>321.95013275551622</v>
      </c>
      <c r="F482">
        <f t="shared" si="49"/>
        <v>-57092.34900967437</v>
      </c>
      <c r="G482">
        <f t="shared" si="50"/>
        <v>7716.2807092501625</v>
      </c>
      <c r="H482">
        <f t="shared" si="51"/>
        <v>10911.942197943054</v>
      </c>
      <c r="I482">
        <f t="shared" si="52"/>
        <v>26395.376445814389</v>
      </c>
      <c r="J482">
        <f t="shared" si="53"/>
        <v>14542.821131015964</v>
      </c>
      <c r="K482">
        <f t="shared" si="54"/>
        <v>25604.228644672996</v>
      </c>
      <c r="L482" s="42">
        <f t="shared" si="55"/>
        <v>-9562.5948853910504</v>
      </c>
    </row>
    <row r="483" spans="2:12">
      <c r="B483" s="42">
        <v>0.17030549027985475</v>
      </c>
      <c r="C483" s="42">
        <v>55280.770287179177</v>
      </c>
      <c r="D483" s="42">
        <v>488.81954405346841</v>
      </c>
      <c r="E483" s="42">
        <v>343.46263008514666</v>
      </c>
      <c r="F483">
        <f t="shared" si="49"/>
        <v>-55280.770287179177</v>
      </c>
      <c r="G483">
        <f t="shared" si="50"/>
        <v>8389.1772209845258</v>
      </c>
      <c r="H483">
        <f t="shared" si="51"/>
        <v>11877.743156224245</v>
      </c>
      <c r="I483">
        <f t="shared" si="52"/>
        <v>28564.436780907614</v>
      </c>
      <c r="J483">
        <f t="shared" si="53"/>
        <v>15721.470381786552</v>
      </c>
      <c r="K483">
        <f t="shared" si="54"/>
        <v>27194.511551255833</v>
      </c>
      <c r="L483" s="42">
        <f t="shared" si="55"/>
        <v>-850.70535814201139</v>
      </c>
    </row>
    <row r="484" spans="2:12">
      <c r="B484" s="42">
        <v>0.18793298135319073</v>
      </c>
      <c r="C484" s="42">
        <v>56956.083864864042</v>
      </c>
      <c r="D484" s="42">
        <v>479.29776909695732</v>
      </c>
      <c r="E484" s="42">
        <v>349.5220801416059</v>
      </c>
      <c r="F484">
        <f t="shared" si="49"/>
        <v>-56956.083864864042</v>
      </c>
      <c r="G484">
        <f t="shared" si="50"/>
        <v>7228.3751945555005</v>
      </c>
      <c r="H484">
        <f t="shared" si="51"/>
        <v>10342.991729483932</v>
      </c>
      <c r="I484">
        <f t="shared" si="52"/>
        <v>26398.648030030214</v>
      </c>
      <c r="J484">
        <f t="shared" si="53"/>
        <v>14417.841731009859</v>
      </c>
      <c r="K484">
        <f t="shared" si="54"/>
        <v>25968.790551469465</v>
      </c>
      <c r="L484" s="42">
        <f t="shared" si="55"/>
        <v>-9577.5516044240449</v>
      </c>
    </row>
    <row r="485" spans="2:12">
      <c r="B485" s="42">
        <v>0.14547563097018343</v>
      </c>
      <c r="C485" s="42">
        <v>57929.776909695727</v>
      </c>
      <c r="D485" s="42">
        <v>480.40559099093599</v>
      </c>
      <c r="E485" s="42">
        <v>358.11304055909909</v>
      </c>
      <c r="F485">
        <f t="shared" si="49"/>
        <v>-57929.776909695727</v>
      </c>
      <c r="G485">
        <f t="shared" si="50"/>
        <v>6619.7537156285262</v>
      </c>
      <c r="H485">
        <f t="shared" si="51"/>
        <v>9554.7749259926168</v>
      </c>
      <c r="I485">
        <f t="shared" si="52"/>
        <v>25460.747093111971</v>
      </c>
      <c r="J485">
        <f t="shared" si="53"/>
        <v>13825.837580492567</v>
      </c>
      <c r="K485">
        <f t="shared" si="54"/>
        <v>25516.457411420022</v>
      </c>
      <c r="L485" s="42">
        <f t="shared" si="55"/>
        <v>-6959.4441416510526</v>
      </c>
    </row>
    <row r="486" spans="2:12">
      <c r="B486" s="42">
        <v>0.19833674123355816</v>
      </c>
      <c r="C486" s="42">
        <v>56494.03363139744</v>
      </c>
      <c r="D486" s="42">
        <v>467.22464674825284</v>
      </c>
      <c r="E486" s="42">
        <v>361.39530625324261</v>
      </c>
      <c r="F486">
        <f t="shared" si="49"/>
        <v>-56494.03363139744</v>
      </c>
      <c r="G486">
        <f t="shared" si="50"/>
        <v>5421.3254188665423</v>
      </c>
      <c r="H486">
        <f t="shared" si="51"/>
        <v>7961.2295907467878</v>
      </c>
      <c r="I486">
        <f t="shared" si="52"/>
        <v>23116.199224829863</v>
      </c>
      <c r="J486">
        <f t="shared" si="53"/>
        <v>12429.695120090335</v>
      </c>
      <c r="K486">
        <f t="shared" si="54"/>
        <v>24146.469313638721</v>
      </c>
      <c r="L486" s="42">
        <f t="shared" si="55"/>
        <v>-17193.729196227498</v>
      </c>
    </row>
    <row r="487" spans="2:12">
      <c r="B487" s="42">
        <v>0.14292428357799006</v>
      </c>
      <c r="C487" s="42">
        <v>57435.987426374093</v>
      </c>
      <c r="D487" s="42">
        <v>463.03445539719843</v>
      </c>
      <c r="E487" s="42">
        <v>361.33579515976442</v>
      </c>
      <c r="F487">
        <f t="shared" si="49"/>
        <v>-57435.987426374093</v>
      </c>
      <c r="G487">
        <f t="shared" si="50"/>
        <v>5128.582720419935</v>
      </c>
      <c r="H487">
        <f t="shared" si="51"/>
        <v>7569.3505661183508</v>
      </c>
      <c r="I487">
        <f t="shared" si="52"/>
        <v>22512.048707541126</v>
      </c>
      <c r="J487">
        <f t="shared" si="53"/>
        <v>12074.099551377913</v>
      </c>
      <c r="K487">
        <f t="shared" si="54"/>
        <v>23781.541184728536</v>
      </c>
      <c r="L487" s="42">
        <f t="shared" si="55"/>
        <v>-12805.346636556847</v>
      </c>
    </row>
    <row r="488" spans="2:12">
      <c r="B488" s="42">
        <v>0.11074556718649861</v>
      </c>
      <c r="C488" s="42">
        <v>56475.875118259224</v>
      </c>
      <c r="D488" s="42">
        <v>476.66402172917873</v>
      </c>
      <c r="E488" s="42">
        <v>366.30420850245673</v>
      </c>
      <c r="F488">
        <f t="shared" si="49"/>
        <v>-56475.875118259224</v>
      </c>
      <c r="G488">
        <f t="shared" si="50"/>
        <v>5698.8088625751516</v>
      </c>
      <c r="H488">
        <f t="shared" si="51"/>
        <v>8347.4443800164809</v>
      </c>
      <c r="I488">
        <f t="shared" si="52"/>
        <v>23866.008484145634</v>
      </c>
      <c r="J488">
        <f t="shared" si="53"/>
        <v>12848.769188512833</v>
      </c>
      <c r="K488">
        <f t="shared" si="54"/>
        <v>24662.964568010495</v>
      </c>
      <c r="L488" s="42">
        <f t="shared" si="55"/>
        <v>-4135.4815231985831</v>
      </c>
    </row>
    <row r="489" spans="2:12">
      <c r="B489" s="42">
        <v>0.11927854243598743</v>
      </c>
      <c r="C489" s="42">
        <v>55105.136265144807</v>
      </c>
      <c r="D489" s="42">
        <v>472.99569689016386</v>
      </c>
      <c r="E489" s="42">
        <v>359.56572161015657</v>
      </c>
      <c r="F489">
        <f t="shared" si="49"/>
        <v>-55105.136265144807</v>
      </c>
      <c r="G489">
        <f t="shared" si="50"/>
        <v>5977.436750389109</v>
      </c>
      <c r="H489">
        <f t="shared" si="51"/>
        <v>8699.756157109281</v>
      </c>
      <c r="I489">
        <f t="shared" si="52"/>
        <v>24192.959379863882</v>
      </c>
      <c r="J489">
        <f t="shared" si="53"/>
        <v>13072.372203741566</v>
      </c>
      <c r="K489">
        <f t="shared" si="54"/>
        <v>24771.415143284401</v>
      </c>
      <c r="L489" s="42">
        <f t="shared" si="55"/>
        <v>-3136.4776665129884</v>
      </c>
    </row>
    <row r="490" spans="2:12">
      <c r="B490" s="42">
        <v>0.15743278298287913</v>
      </c>
      <c r="C490" s="42">
        <v>58069.85686819056</v>
      </c>
      <c r="D490" s="42">
        <v>501.19785149693291</v>
      </c>
      <c r="E490" s="42">
        <v>362.67555772576065</v>
      </c>
      <c r="F490">
        <f t="shared" si="49"/>
        <v>-58069.85686819056</v>
      </c>
      <c r="G490">
        <f t="shared" si="50"/>
        <v>7731.0028382213859</v>
      </c>
      <c r="H490">
        <f t="shared" si="51"/>
        <v>11055.537888729519</v>
      </c>
      <c r="I490">
        <f t="shared" si="52"/>
        <v>27912.414929654842</v>
      </c>
      <c r="J490">
        <f t="shared" si="53"/>
        <v>15248.97061067538</v>
      </c>
      <c r="K490">
        <f t="shared" si="54"/>
        <v>27054.175237281415</v>
      </c>
      <c r="L490" s="42">
        <f t="shared" si="55"/>
        <v>-3615.1369249065883</v>
      </c>
    </row>
    <row r="491" spans="2:12">
      <c r="B491" s="42">
        <v>0.10243537705618458</v>
      </c>
      <c r="C491" s="42">
        <v>56223.487044892725</v>
      </c>
      <c r="D491" s="42">
        <v>528.43256935331283</v>
      </c>
      <c r="E491" s="42">
        <v>357.46147038178657</v>
      </c>
      <c r="F491">
        <f t="shared" si="49"/>
        <v>-56223.487044892725</v>
      </c>
      <c r="G491">
        <f t="shared" si="50"/>
        <v>10081.794793542289</v>
      </c>
      <c r="H491">
        <f t="shared" si="51"/>
        <v>14185.101168858917</v>
      </c>
      <c r="I491">
        <f t="shared" si="52"/>
        <v>32556.08691671499</v>
      </c>
      <c r="J491">
        <f t="shared" si="53"/>
        <v>18008.28333384198</v>
      </c>
      <c r="K491">
        <f t="shared" si="54"/>
        <v>29784.531998657189</v>
      </c>
      <c r="L491" s="42">
        <f t="shared" si="55"/>
        <v>19373.197839171102</v>
      </c>
    </row>
    <row r="492" spans="2:12">
      <c r="B492" s="42">
        <v>0.18683736686300242</v>
      </c>
      <c r="C492" s="42">
        <v>56786.706137272253</v>
      </c>
      <c r="D492" s="42">
        <v>470.92349009674365</v>
      </c>
      <c r="E492" s="42">
        <v>327.34275337992494</v>
      </c>
      <c r="F492">
        <f t="shared" si="49"/>
        <v>-56786.706137272253</v>
      </c>
      <c r="G492">
        <f t="shared" si="50"/>
        <v>8408.1475264748042</v>
      </c>
      <c r="H492">
        <f t="shared" si="51"/>
        <v>11854.085207678452</v>
      </c>
      <c r="I492">
        <f t="shared" si="52"/>
        <v>28014.957121494179</v>
      </c>
      <c r="J492">
        <f t="shared" si="53"/>
        <v>15471.999877925959</v>
      </c>
      <c r="K492">
        <f t="shared" si="54"/>
        <v>26651.330912198246</v>
      </c>
      <c r="L492" s="42">
        <f t="shared" si="55"/>
        <v>-5413.0308088371949</v>
      </c>
    </row>
    <row r="493" spans="2:12">
      <c r="B493" s="42">
        <v>0.13200170903653066</v>
      </c>
      <c r="C493" s="42">
        <v>56799.371318704798</v>
      </c>
      <c r="D493" s="42">
        <v>541.72338023010957</v>
      </c>
      <c r="E493" s="42">
        <v>330.25421918393505</v>
      </c>
      <c r="F493">
        <f t="shared" si="49"/>
        <v>-56799.371318704798</v>
      </c>
      <c r="G493">
        <f t="shared" si="50"/>
        <v>13202.022461622975</v>
      </c>
      <c r="H493">
        <f t="shared" si="51"/>
        <v>18277.282326731165</v>
      </c>
      <c r="I493">
        <f t="shared" si="52"/>
        <v>37979.073458052313</v>
      </c>
      <c r="J493">
        <f t="shared" si="53"/>
        <v>21327.873165074619</v>
      </c>
      <c r="K493">
        <f t="shared" si="54"/>
        <v>32695.387432477801</v>
      </c>
      <c r="L493" s="42">
        <f t="shared" si="55"/>
        <v>25886.317629923458</v>
      </c>
    </row>
    <row r="494" spans="2:12">
      <c r="B494" s="42">
        <v>0.18162175359355451</v>
      </c>
      <c r="C494" s="42">
        <v>59401.837214270454</v>
      </c>
      <c r="D494" s="42">
        <v>471.94891201513718</v>
      </c>
      <c r="E494" s="42">
        <v>333.03445539719843</v>
      </c>
      <c r="F494">
        <f t="shared" si="49"/>
        <v>-59401.837214270454</v>
      </c>
      <c r="G494">
        <f t="shared" si="50"/>
        <v>8025.6163212988677</v>
      </c>
      <c r="H494">
        <f t="shared" si="51"/>
        <v>11359.563280129394</v>
      </c>
      <c r="I494">
        <f t="shared" si="52"/>
        <v>27436.130863368628</v>
      </c>
      <c r="J494">
        <f t="shared" si="53"/>
        <v>15104.850001525925</v>
      </c>
      <c r="K494">
        <f t="shared" si="54"/>
        <v>26377.299111911372</v>
      </c>
      <c r="L494" s="42">
        <f t="shared" si="55"/>
        <v>-8645.0183466652688</v>
      </c>
    </row>
    <row r="495" spans="2:12">
      <c r="B495" s="42">
        <v>0.18674886318552203</v>
      </c>
      <c r="C495" s="42">
        <v>57111.117893002105</v>
      </c>
      <c r="D495" s="42">
        <v>491.04129154332105</v>
      </c>
      <c r="E495" s="42">
        <v>367.56157109286784</v>
      </c>
      <c r="F495">
        <f t="shared" si="49"/>
        <v>-57111.117893002105</v>
      </c>
      <c r="G495">
        <f t="shared" si="50"/>
        <v>6619.0060121463675</v>
      </c>
      <c r="H495">
        <f t="shared" si="51"/>
        <v>9582.5193029572474</v>
      </c>
      <c r="I495">
        <f t="shared" si="52"/>
        <v>25804.147465437789</v>
      </c>
      <c r="J495">
        <f t="shared" si="53"/>
        <v>13984.625385296184</v>
      </c>
      <c r="K495">
        <f t="shared" si="54"/>
        <v>25847.693105868711</v>
      </c>
      <c r="L495" s="42">
        <f t="shared" si="55"/>
        <v>-11259.87390436749</v>
      </c>
    </row>
    <row r="496" spans="2:12">
      <c r="B496" s="42">
        <v>0.1314371166112247</v>
      </c>
      <c r="C496" s="42">
        <v>57136.448255867181</v>
      </c>
      <c r="D496" s="42">
        <v>541.4883877071444</v>
      </c>
      <c r="E496" s="42">
        <v>328.13165684987945</v>
      </c>
      <c r="F496">
        <f t="shared" si="49"/>
        <v>-57136.448255867181</v>
      </c>
      <c r="G496">
        <f t="shared" si="50"/>
        <v>13355.142979216895</v>
      </c>
      <c r="H496">
        <f t="shared" si="51"/>
        <v>18475.704519791259</v>
      </c>
      <c r="I496">
        <f t="shared" si="52"/>
        <v>38216.452528458511</v>
      </c>
      <c r="J496">
        <f t="shared" si="53"/>
        <v>21477.468794824064</v>
      </c>
      <c r="K496">
        <f t="shared" si="54"/>
        <v>32810.552079836423</v>
      </c>
      <c r="L496" s="42">
        <f t="shared" si="55"/>
        <v>26286.004440106961</v>
      </c>
    </row>
    <row r="497" spans="2:12">
      <c r="B497" s="42">
        <v>0.10109561449018831</v>
      </c>
      <c r="C497" s="42">
        <v>56593.06619464705</v>
      </c>
      <c r="D497" s="42">
        <v>505.82445753349407</v>
      </c>
      <c r="E497" s="42">
        <v>350.71993163853875</v>
      </c>
      <c r="F497">
        <f t="shared" si="49"/>
        <v>-56593.06619464705</v>
      </c>
      <c r="G497">
        <f t="shared" si="50"/>
        <v>9015.9419537949761</v>
      </c>
      <c r="H497">
        <f t="shared" si="51"/>
        <v>12738.450575273913</v>
      </c>
      <c r="I497">
        <f t="shared" si="52"/>
        <v>30118.21955015717</v>
      </c>
      <c r="J497">
        <f t="shared" si="53"/>
        <v>16603.308816797391</v>
      </c>
      <c r="K497">
        <f t="shared" si="54"/>
        <v>28226.476638080996</v>
      </c>
      <c r="L497" s="42">
        <f t="shared" si="55"/>
        <v>13397.192654869279</v>
      </c>
    </row>
    <row r="498" spans="2:12">
      <c r="B498" s="42">
        <v>0.17914365062410353</v>
      </c>
      <c r="C498" s="42">
        <v>55880.611590929897</v>
      </c>
      <c r="D498" s="42">
        <v>499.35453352458268</v>
      </c>
      <c r="E498" s="42">
        <v>354.80025635547958</v>
      </c>
      <c r="F498">
        <f t="shared" si="49"/>
        <v>-55880.611590929897</v>
      </c>
      <c r="G498">
        <f t="shared" si="50"/>
        <v>8230.1513718070019</v>
      </c>
      <c r="H498">
        <f t="shared" si="51"/>
        <v>11699.454023865477</v>
      </c>
      <c r="I498">
        <f t="shared" si="52"/>
        <v>28651.329081087686</v>
      </c>
      <c r="J498">
        <f t="shared" si="53"/>
        <v>15720.469374675742</v>
      </c>
      <c r="K498">
        <f t="shared" si="54"/>
        <v>27395.982543412581</v>
      </c>
      <c r="L498" s="42">
        <f t="shared" si="55"/>
        <v>-2859.5554274363112</v>
      </c>
    </row>
    <row r="499" spans="2:12">
      <c r="B499" s="42">
        <v>0.139341410565508</v>
      </c>
      <c r="C499" s="42">
        <v>57090.365306558429</v>
      </c>
      <c r="D499" s="42">
        <v>508.500930814539</v>
      </c>
      <c r="E499" s="42">
        <v>347.80388805810725</v>
      </c>
      <c r="F499">
        <f t="shared" si="49"/>
        <v>-57090.365306558429</v>
      </c>
      <c r="G499">
        <f t="shared" si="50"/>
        <v>9439.2550431836898</v>
      </c>
      <c r="H499">
        <f t="shared" si="51"/>
        <v>13295.984069338057</v>
      </c>
      <c r="I499">
        <f t="shared" si="52"/>
        <v>30882.238227484966</v>
      </c>
      <c r="J499">
        <f t="shared" si="53"/>
        <v>17066.769005401777</v>
      </c>
      <c r="K499">
        <f t="shared" si="54"/>
        <v>28648.63307596057</v>
      </c>
      <c r="L499" s="42">
        <f t="shared" si="55"/>
        <v>7368.465864207883</v>
      </c>
    </row>
    <row r="500" spans="2:12">
      <c r="B500" s="42">
        <v>0.15946531571398054</v>
      </c>
      <c r="C500" s="42">
        <v>56738.944669942321</v>
      </c>
      <c r="D500" s="42">
        <v>513.74095889156774</v>
      </c>
      <c r="E500" s="42">
        <v>365.7319864497818</v>
      </c>
      <c r="F500">
        <f t="shared" si="49"/>
        <v>-56738.944669942321</v>
      </c>
      <c r="G500">
        <f t="shared" si="50"/>
        <v>8377.0491653187655</v>
      </c>
      <c r="H500">
        <f t="shared" si="51"/>
        <v>11929.264503921631</v>
      </c>
      <c r="I500">
        <f t="shared" si="52"/>
        <v>29352.485732596822</v>
      </c>
      <c r="J500">
        <f t="shared" si="53"/>
        <v>16083.163548692281</v>
      </c>
      <c r="K500">
        <f t="shared" si="54"/>
        <v>27962.357249671928</v>
      </c>
      <c r="L500" s="42">
        <f t="shared" si="55"/>
        <v>433.41905648447937</v>
      </c>
    </row>
    <row r="501" spans="2:12">
      <c r="B501" s="42">
        <v>0.1957060457167272</v>
      </c>
      <c r="C501" s="42">
        <v>59014.709921567432</v>
      </c>
      <c r="D501" s="42">
        <v>544.25336466566978</v>
      </c>
      <c r="E501" s="42">
        <v>358.12677388836329</v>
      </c>
      <c r="F501">
        <f t="shared" si="49"/>
        <v>-59014.709921567432</v>
      </c>
      <c r="G501">
        <f t="shared" si="50"/>
        <v>11151.846980193492</v>
      </c>
      <c r="H501">
        <f t="shared" si="51"/>
        <v>15618.885158848847</v>
      </c>
      <c r="I501">
        <f t="shared" si="52"/>
        <v>34780.764183477288</v>
      </c>
      <c r="J501">
        <f t="shared" si="53"/>
        <v>19315.647450178538</v>
      </c>
      <c r="K501">
        <f t="shared" si="54"/>
        <v>31134.18256172369</v>
      </c>
      <c r="L501" s="42">
        <f t="shared" si="55"/>
        <v>3769.7143241020713</v>
      </c>
    </row>
    <row r="502" spans="2:12">
      <c r="B502" s="42">
        <v>0.15081637012848292</v>
      </c>
      <c r="C502" s="42">
        <v>57677.846613971371</v>
      </c>
      <c r="D502" s="42">
        <v>531.1700796533097</v>
      </c>
      <c r="E502" s="42">
        <v>356.44062623981443</v>
      </c>
      <c r="F502">
        <f t="shared" ref="F502:F553" si="56">-C502</f>
        <v>-57677.846613971371</v>
      </c>
      <c r="G502">
        <f t="shared" ref="G502:G553" si="57">((D502-E502)*$E$14-$E$18-$E$20)*(1-0.2)+$E$20-0.3*($F$14*D502-$E$14*D502)</f>
        <v>10357.825556199834</v>
      </c>
      <c r="H502">
        <f t="shared" ref="H502:H553" si="58">($F$14*(D502-E502)-$F$18-$F$20)*0.8+$F$20-0.3*($G$14*D502-$F$14*D502)</f>
        <v>14551.332438123722</v>
      </c>
      <c r="I502">
        <f t="shared" ref="I502:I553" si="59">($G$14*(D502-E502)-$G$18-$G$20)*0.8+$H$20-0.3*($H$14*D502-$G$14*D502)</f>
        <v>33086.43147068697</v>
      </c>
      <c r="J502">
        <f t="shared" ref="J502:J553" si="60">($H$14*(D502-E502)-$H$18-$H$20)*0.8+$H$20-0.3*($I$14*D502-$H$14*D502)</f>
        <v>18325.37675099948</v>
      </c>
      <c r="K502">
        <f t="shared" ref="K502:K553" si="61">($I$14*(D502-E502)-$I$18-$I$20)*0.8+$I$20+$I$14*D502*0.3+$I$31</f>
        <v>30090.766930143131</v>
      </c>
      <c r="L502" s="42">
        <f t="shared" ref="L502:L553" si="62">F502+G502/(1+B502)^1+H502/(1+B502)^2+I502/(1+B502)^3+J502/(1+B502)^4+K502/(1+B502)^5</f>
        <v>9373.798590143655</v>
      </c>
    </row>
    <row r="503" spans="2:12">
      <c r="B503" s="42">
        <v>0.18301034577471237</v>
      </c>
      <c r="C503" s="42">
        <v>57430.799279763174</v>
      </c>
      <c r="D503" s="42">
        <v>533.66039002655111</v>
      </c>
      <c r="E503" s="42">
        <v>367.888119144261</v>
      </c>
      <c r="F503">
        <f t="shared" si="56"/>
        <v>-57430.799279763174</v>
      </c>
      <c r="G503">
        <f t="shared" si="57"/>
        <v>9618.8381603442467</v>
      </c>
      <c r="H503">
        <f t="shared" si="58"/>
        <v>13597.372661519217</v>
      </c>
      <c r="I503">
        <f t="shared" si="59"/>
        <v>31984.737693411051</v>
      </c>
      <c r="J503">
        <f t="shared" si="60"/>
        <v>17623.744010742517</v>
      </c>
      <c r="K503">
        <f t="shared" si="61"/>
        <v>29577.274697103792</v>
      </c>
      <c r="L503" s="42">
        <f t="shared" si="62"/>
        <v>1497.2692969032123</v>
      </c>
    </row>
    <row r="504" spans="2:12">
      <c r="B504" s="42">
        <v>0.17681814020203254</v>
      </c>
      <c r="C504" s="42">
        <v>59560.228278450879</v>
      </c>
      <c r="D504" s="42">
        <v>490.71779534287543</v>
      </c>
      <c r="E504" s="42">
        <v>340.72664571062347</v>
      </c>
      <c r="F504">
        <f t="shared" si="56"/>
        <v>-59560.228278450879</v>
      </c>
      <c r="G504">
        <f t="shared" si="57"/>
        <v>8742.8318124942798</v>
      </c>
      <c r="H504">
        <f t="shared" si="58"/>
        <v>12342.619403668325</v>
      </c>
      <c r="I504">
        <f t="shared" si="59"/>
        <v>29191.787469100007</v>
      </c>
      <c r="J504">
        <f t="shared" si="60"/>
        <v>16103.598742637412</v>
      </c>
      <c r="K504">
        <f t="shared" si="61"/>
        <v>27536.660664693136</v>
      </c>
      <c r="L504" s="42">
        <f t="shared" si="62"/>
        <v>-4710.8280303261872</v>
      </c>
    </row>
    <row r="505" spans="2:12">
      <c r="B505" s="42">
        <v>0.12535477767265849</v>
      </c>
      <c r="C505" s="42">
        <v>57607.196264534439</v>
      </c>
      <c r="D505" s="42">
        <v>513.21298867763301</v>
      </c>
      <c r="E505" s="42">
        <v>346.63960692159793</v>
      </c>
      <c r="F505">
        <f t="shared" si="56"/>
        <v>-57607.196264534439</v>
      </c>
      <c r="G505">
        <f t="shared" si="57"/>
        <v>9866.9536423841128</v>
      </c>
      <c r="H505">
        <f t="shared" si="58"/>
        <v>13864.714804528954</v>
      </c>
      <c r="I505">
        <f t="shared" si="59"/>
        <v>31719.226660969882</v>
      </c>
      <c r="J505">
        <f t="shared" si="60"/>
        <v>17565.148472548608</v>
      </c>
      <c r="K505">
        <f t="shared" si="61"/>
        <v>29137.808160649438</v>
      </c>
      <c r="L505" s="42">
        <f t="shared" si="62"/>
        <v>11460.914128437727</v>
      </c>
    </row>
    <row r="506" spans="2:12">
      <c r="B506" s="42">
        <v>0.13647877437665945</v>
      </c>
      <c r="C506" s="42">
        <v>57343.363750114448</v>
      </c>
      <c r="D506" s="42">
        <v>452.9358806115909</v>
      </c>
      <c r="E506" s="42">
        <v>342.69203772087769</v>
      </c>
      <c r="F506">
        <f t="shared" si="56"/>
        <v>-57343.363750114448</v>
      </c>
      <c r="G506">
        <f t="shared" si="57"/>
        <v>5903.0845057527367</v>
      </c>
      <c r="H506">
        <f t="shared" si="58"/>
        <v>8548.936735129857</v>
      </c>
      <c r="I506">
        <f t="shared" si="59"/>
        <v>23424.057741019926</v>
      </c>
      <c r="J506">
        <f t="shared" si="60"/>
        <v>12697.122714926601</v>
      </c>
      <c r="K506">
        <f t="shared" si="61"/>
        <v>24086.067079683824</v>
      </c>
      <c r="L506" s="42">
        <f t="shared" si="62"/>
        <v>-9256.3629108801888</v>
      </c>
    </row>
    <row r="507" spans="2:12">
      <c r="B507" s="42">
        <v>0.14300973540452286</v>
      </c>
      <c r="C507" s="42">
        <v>57059.083834345533</v>
      </c>
      <c r="D507" s="42">
        <v>497.45017853328045</v>
      </c>
      <c r="E507" s="42">
        <v>326.90328684347054</v>
      </c>
      <c r="F507">
        <f t="shared" si="56"/>
        <v>-57059.083834345533</v>
      </c>
      <c r="G507">
        <f t="shared" si="57"/>
        <v>10326.699728385272</v>
      </c>
      <c r="H507">
        <f t="shared" si="58"/>
        <v>14419.825128940709</v>
      </c>
      <c r="I507">
        <f t="shared" si="59"/>
        <v>31944.105349894715</v>
      </c>
      <c r="J507">
        <f t="shared" si="60"/>
        <v>17788.452406384476</v>
      </c>
      <c r="K507">
        <f t="shared" si="61"/>
        <v>29013.805352946565</v>
      </c>
      <c r="L507" s="42">
        <f t="shared" si="62"/>
        <v>9697.4949408396697</v>
      </c>
    </row>
    <row r="508" spans="2:12">
      <c r="B508" s="42">
        <v>0.12338023010956145</v>
      </c>
      <c r="C508" s="42">
        <v>59727.469710379344</v>
      </c>
      <c r="D508" s="42">
        <v>466.95303201391641</v>
      </c>
      <c r="E508" s="42">
        <v>340.92654194769125</v>
      </c>
      <c r="F508">
        <f t="shared" si="56"/>
        <v>-59727.469710379344</v>
      </c>
      <c r="G508">
        <f t="shared" si="57"/>
        <v>7039.5419171727644</v>
      </c>
      <c r="H508">
        <f t="shared" si="58"/>
        <v>10064.177678762167</v>
      </c>
      <c r="I508">
        <f t="shared" si="59"/>
        <v>25696.545304727319</v>
      </c>
      <c r="J508">
        <f t="shared" si="60"/>
        <v>14043.837397381511</v>
      </c>
      <c r="K508">
        <f t="shared" si="61"/>
        <v>25432.568132572407</v>
      </c>
      <c r="L508" s="42">
        <f t="shared" si="62"/>
        <v>-4327.0174205005842</v>
      </c>
    </row>
    <row r="509" spans="2:12">
      <c r="B509" s="42">
        <v>0.17335428937650685</v>
      </c>
      <c r="C509" s="42">
        <v>58619.037446211129</v>
      </c>
      <c r="D509" s="42">
        <v>517.02475051118506</v>
      </c>
      <c r="E509" s="42">
        <v>322.57881405072175</v>
      </c>
      <c r="F509">
        <f t="shared" si="56"/>
        <v>-58619.037446211129</v>
      </c>
      <c r="G509">
        <f t="shared" si="57"/>
        <v>12062.452162236401</v>
      </c>
      <c r="H509">
        <f t="shared" si="58"/>
        <v>16729.154637287516</v>
      </c>
      <c r="I509">
        <f t="shared" si="59"/>
        <v>35355.525376140642</v>
      </c>
      <c r="J509">
        <f t="shared" si="60"/>
        <v>19817.823419904176</v>
      </c>
      <c r="K509">
        <f t="shared" si="61"/>
        <v>31013.133945738096</v>
      </c>
      <c r="L509" s="42">
        <f t="shared" si="62"/>
        <v>10098.318618694513</v>
      </c>
    </row>
    <row r="510" spans="2:12">
      <c r="B510" s="42">
        <v>0.12725913266396069</v>
      </c>
      <c r="C510" s="42">
        <v>58028.504287850585</v>
      </c>
      <c r="D510" s="42">
        <v>537.87804803613392</v>
      </c>
      <c r="E510" s="42">
        <v>360.34241767632068</v>
      </c>
      <c r="F510">
        <f t="shared" si="56"/>
        <v>-58028.504287850585</v>
      </c>
      <c r="G510">
        <f t="shared" si="57"/>
        <v>10521.947996459854</v>
      </c>
      <c r="H510">
        <f t="shared" si="58"/>
        <v>14782.803125095372</v>
      </c>
      <c r="I510">
        <f t="shared" si="59"/>
        <v>33566.365550706505</v>
      </c>
      <c r="J510">
        <f t="shared" si="60"/>
        <v>18590.11871700186</v>
      </c>
      <c r="K510">
        <f t="shared" si="61"/>
        <v>30431.353495895259</v>
      </c>
      <c r="L510" s="42">
        <f t="shared" si="62"/>
        <v>14604.002819784575</v>
      </c>
    </row>
    <row r="511" spans="2:12">
      <c r="B511" s="42">
        <v>0.17277138584551532</v>
      </c>
      <c r="C511" s="42">
        <v>56562.395092623679</v>
      </c>
      <c r="D511" s="42">
        <v>471.65593432416762</v>
      </c>
      <c r="E511" s="42">
        <v>362.25287636951811</v>
      </c>
      <c r="F511">
        <f t="shared" si="56"/>
        <v>-56562.395092623679</v>
      </c>
      <c r="G511">
        <f t="shared" si="57"/>
        <v>5667.3412274544526</v>
      </c>
      <c r="H511">
        <f t="shared" si="58"/>
        <v>8293.0146183660436</v>
      </c>
      <c r="I511">
        <f t="shared" si="59"/>
        <v>23653.398236030152</v>
      </c>
      <c r="J511">
        <f t="shared" si="60"/>
        <v>12742.180242316967</v>
      </c>
      <c r="K511">
        <f t="shared" si="61"/>
        <v>24481.538132877591</v>
      </c>
      <c r="L511" s="42">
        <f t="shared" si="62"/>
        <v>-13265.559015343919</v>
      </c>
    </row>
    <row r="512" spans="2:12">
      <c r="B512" s="42">
        <v>0.10845362712485122</v>
      </c>
      <c r="C512" s="42">
        <v>57564.928128910185</v>
      </c>
      <c r="D512" s="42">
        <v>502.73903622547073</v>
      </c>
      <c r="E512" s="42">
        <v>345.86748863185522</v>
      </c>
      <c r="F512">
        <f t="shared" si="56"/>
        <v>-57564.928128910185</v>
      </c>
      <c r="G512">
        <f t="shared" si="57"/>
        <v>9185.0724814600035</v>
      </c>
      <c r="H512">
        <f t="shared" si="58"/>
        <v>12949.989623706777</v>
      </c>
      <c r="I512">
        <f t="shared" si="59"/>
        <v>30288.86074404126</v>
      </c>
      <c r="J512">
        <f t="shared" si="60"/>
        <v>16726.158024842065</v>
      </c>
      <c r="K512">
        <f t="shared" si="61"/>
        <v>28265.515915402691</v>
      </c>
      <c r="L512" s="42">
        <f t="shared" si="62"/>
        <v>11472.269428805042</v>
      </c>
    </row>
    <row r="513" spans="2:12">
      <c r="B513" s="42">
        <v>0.15307168797875911</v>
      </c>
      <c r="C513" s="42">
        <v>55321.05471968749</v>
      </c>
      <c r="D513" s="42">
        <v>497.92931913205359</v>
      </c>
      <c r="E513" s="42">
        <v>347.17673268837552</v>
      </c>
      <c r="F513">
        <f t="shared" si="56"/>
        <v>-55321.05471968749</v>
      </c>
      <c r="G513">
        <f t="shared" si="57"/>
        <v>8738.843043305762</v>
      </c>
      <c r="H513">
        <f t="shared" si="58"/>
        <v>12356.905117954037</v>
      </c>
      <c r="I513">
        <f t="shared" si="59"/>
        <v>29419.058809167756</v>
      </c>
      <c r="J513">
        <f t="shared" si="60"/>
        <v>16207.782830286567</v>
      </c>
      <c r="K513">
        <f t="shared" si="61"/>
        <v>27758.469191564684</v>
      </c>
      <c r="L513" s="42">
        <f t="shared" si="62"/>
        <v>3527.4302737262915</v>
      </c>
    </row>
    <row r="514" spans="2:12">
      <c r="B514" s="42">
        <v>0.10928373058259835</v>
      </c>
      <c r="C514" s="42">
        <v>57332.987456892602</v>
      </c>
      <c r="D514" s="42">
        <v>539.98382518997767</v>
      </c>
      <c r="E514" s="42">
        <v>351.21280556657615</v>
      </c>
      <c r="F514">
        <f t="shared" si="56"/>
        <v>-57332.987456892602</v>
      </c>
      <c r="G514">
        <f t="shared" si="57"/>
        <v>11401.827143162322</v>
      </c>
      <c r="H514">
        <f t="shared" si="58"/>
        <v>15932.331614123959</v>
      </c>
      <c r="I514">
        <f t="shared" si="59"/>
        <v>35042.399365214995</v>
      </c>
      <c r="J514">
        <f t="shared" si="60"/>
        <v>19501.584521011988</v>
      </c>
      <c r="K514">
        <f t="shared" si="61"/>
        <v>31200.957060457164</v>
      </c>
      <c r="L514" s="42">
        <f t="shared" si="62"/>
        <v>23021.286775717315</v>
      </c>
    </row>
    <row r="515" spans="2:12">
      <c r="B515" s="42">
        <v>0.18524735251930297</v>
      </c>
      <c r="C515" s="42">
        <v>57817.621387371444</v>
      </c>
      <c r="D515" s="42">
        <v>502.17749565111239</v>
      </c>
      <c r="E515" s="42">
        <v>346.9280068361461</v>
      </c>
      <c r="F515">
        <f t="shared" si="56"/>
        <v>-57817.621387371444</v>
      </c>
      <c r="G515">
        <f t="shared" si="57"/>
        <v>9060.3616443372939</v>
      </c>
      <c r="H515">
        <f t="shared" si="58"/>
        <v>12786.349375896483</v>
      </c>
      <c r="I515">
        <f t="shared" si="59"/>
        <v>30071.12949003571</v>
      </c>
      <c r="J515">
        <f t="shared" si="60"/>
        <v>16593.024079103976</v>
      </c>
      <c r="K515">
        <f t="shared" si="61"/>
        <v>28148.227179784539</v>
      </c>
      <c r="L515" s="42">
        <f t="shared" si="62"/>
        <v>-2569.4762718160637</v>
      </c>
    </row>
    <row r="516" spans="2:12">
      <c r="B516" s="42">
        <v>0.12916653950621051</v>
      </c>
      <c r="C516" s="42">
        <v>56254.310739463486</v>
      </c>
      <c r="D516" s="42">
        <v>486.80227057710499</v>
      </c>
      <c r="E516" s="42">
        <v>366.16382335886715</v>
      </c>
      <c r="F516">
        <f t="shared" si="56"/>
        <v>-56254.310739463486</v>
      </c>
      <c r="G516">
        <f t="shared" si="57"/>
        <v>6429.8553422650839</v>
      </c>
      <c r="H516">
        <f t="shared" si="58"/>
        <v>9325.1780755027921</v>
      </c>
      <c r="I516">
        <f t="shared" si="59"/>
        <v>25364.162114322331</v>
      </c>
      <c r="J516">
        <f t="shared" si="60"/>
        <v>13731.889400921658</v>
      </c>
      <c r="K516">
        <f t="shared" si="61"/>
        <v>25564.115115817742</v>
      </c>
      <c r="L516" s="42">
        <f t="shared" si="62"/>
        <v>-3255.2359918023849</v>
      </c>
    </row>
    <row r="517" spans="2:12">
      <c r="B517" s="42">
        <v>0.11515549180578021</v>
      </c>
      <c r="C517" s="42">
        <v>57947.477645191808</v>
      </c>
      <c r="D517" s="42">
        <v>460.46479689931942</v>
      </c>
      <c r="E517" s="42">
        <v>324.73494674520094</v>
      </c>
      <c r="F517">
        <f t="shared" si="56"/>
        <v>-57947.477645191808</v>
      </c>
      <c r="G517">
        <f t="shared" si="57"/>
        <v>7874.2048402356049</v>
      </c>
      <c r="H517">
        <f t="shared" si="58"/>
        <v>11131.721243934451</v>
      </c>
      <c r="I517">
        <f t="shared" si="59"/>
        <v>26821.787163914916</v>
      </c>
      <c r="J517">
        <f t="shared" si="60"/>
        <v>14781.176793725397</v>
      </c>
      <c r="K517">
        <f t="shared" si="61"/>
        <v>25897.86553544725</v>
      </c>
      <c r="L517" s="42">
        <f t="shared" si="62"/>
        <v>1981.2590703154819</v>
      </c>
    </row>
    <row r="518" spans="2:12">
      <c r="B518" s="42">
        <v>0.15446943571275978</v>
      </c>
      <c r="C518" s="42">
        <v>56778.618732261115</v>
      </c>
      <c r="D518" s="42">
        <v>483.37504196295055</v>
      </c>
      <c r="E518" s="42">
        <v>368.91201513718067</v>
      </c>
      <c r="F518">
        <f t="shared" si="56"/>
        <v>-56778.618732261115</v>
      </c>
      <c r="G518">
        <f t="shared" si="57"/>
        <v>5966.6667683950345</v>
      </c>
      <c r="H518">
        <f t="shared" si="58"/>
        <v>8713.779412213511</v>
      </c>
      <c r="I518">
        <f t="shared" si="59"/>
        <v>24512.018189031656</v>
      </c>
      <c r="J518">
        <f t="shared" si="60"/>
        <v>13217.292397839292</v>
      </c>
      <c r="K518">
        <f t="shared" si="61"/>
        <v>25086.634723960087</v>
      </c>
      <c r="L518" s="42">
        <f t="shared" si="62"/>
        <v>-9468.1580484065016</v>
      </c>
    </row>
    <row r="519" spans="2:12">
      <c r="B519" s="42">
        <v>0.14306161687063204</v>
      </c>
      <c r="C519" s="42">
        <v>59245.277260658586</v>
      </c>
      <c r="D519" s="42">
        <v>453.4058656575213</v>
      </c>
      <c r="E519" s="42">
        <v>345.52415540025027</v>
      </c>
      <c r="F519">
        <f t="shared" si="56"/>
        <v>-59245.277260658586</v>
      </c>
      <c r="G519">
        <f t="shared" si="57"/>
        <v>5709.8840296639901</v>
      </c>
      <c r="H519">
        <f t="shared" si="58"/>
        <v>8299.0450758384977</v>
      </c>
      <c r="I519">
        <f t="shared" si="59"/>
        <v>23130.164494766075</v>
      </c>
      <c r="J519">
        <f t="shared" si="60"/>
        <v>12510.972014526811</v>
      </c>
      <c r="K519">
        <f t="shared" si="61"/>
        <v>23946.170232245859</v>
      </c>
      <c r="L519" s="42">
        <f t="shared" si="62"/>
        <v>-12811.570764698525</v>
      </c>
    </row>
    <row r="520" spans="2:12">
      <c r="B520" s="42">
        <v>0.11252784813989686</v>
      </c>
      <c r="C520" s="42">
        <v>59119.388409070103</v>
      </c>
      <c r="D520" s="42">
        <v>465.64683980834377</v>
      </c>
      <c r="E520" s="42">
        <v>356.80379650257879</v>
      </c>
      <c r="F520">
        <f t="shared" si="56"/>
        <v>-59119.388409070103</v>
      </c>
      <c r="G520">
        <f t="shared" si="57"/>
        <v>5676.6219061861057</v>
      </c>
      <c r="H520">
        <f t="shared" si="58"/>
        <v>8288.8549455244647</v>
      </c>
      <c r="I520">
        <f t="shared" si="59"/>
        <v>23473.552659688103</v>
      </c>
      <c r="J520">
        <f t="shared" si="60"/>
        <v>12661.324503311262</v>
      </c>
      <c r="K520">
        <f t="shared" si="61"/>
        <v>24301.478926969208</v>
      </c>
      <c r="L520" s="42">
        <f t="shared" si="62"/>
        <v>-7749.6157256972292</v>
      </c>
    </row>
    <row r="521" spans="2:12">
      <c r="B521" s="42">
        <v>0.18389843440046388</v>
      </c>
      <c r="C521" s="42">
        <v>59262.215033417771</v>
      </c>
      <c r="D521" s="42">
        <v>496.04632709738456</v>
      </c>
      <c r="E521" s="42">
        <v>369.03103732413712</v>
      </c>
      <c r="F521">
        <f t="shared" si="56"/>
        <v>-59262.215033417771</v>
      </c>
      <c r="G521">
        <f t="shared" si="57"/>
        <v>6856.8062379833345</v>
      </c>
      <c r="H521">
        <f t="shared" si="58"/>
        <v>9905.1731925412751</v>
      </c>
      <c r="I521">
        <f t="shared" si="59"/>
        <v>26346.790978728593</v>
      </c>
      <c r="J521">
        <f t="shared" si="60"/>
        <v>14297.501144444104</v>
      </c>
      <c r="K521">
        <f t="shared" si="61"/>
        <v>26194.090395825064</v>
      </c>
      <c r="L521" s="42">
        <f t="shared" si="62"/>
        <v>-11985.703755911629</v>
      </c>
    </row>
    <row r="522" spans="2:12">
      <c r="B522" s="42">
        <v>0.1239906002990814</v>
      </c>
      <c r="C522" s="42">
        <v>56906.186101870786</v>
      </c>
      <c r="D522" s="42">
        <v>451.08951078829313</v>
      </c>
      <c r="E522" s="42">
        <v>360.92379528183841</v>
      </c>
      <c r="F522">
        <f t="shared" si="56"/>
        <v>-56906.186101870786</v>
      </c>
      <c r="G522">
        <f t="shared" si="57"/>
        <v>4313.4516434217385</v>
      </c>
      <c r="H522">
        <f t="shared" si="58"/>
        <v>6477.4288155766517</v>
      </c>
      <c r="I522">
        <f t="shared" si="59"/>
        <v>20820.822779015482</v>
      </c>
      <c r="J522">
        <f t="shared" si="60"/>
        <v>11079.794305246136</v>
      </c>
      <c r="K522">
        <f t="shared" si="61"/>
        <v>22756.754051332136</v>
      </c>
      <c r="L522" s="42">
        <f t="shared" si="62"/>
        <v>-13651.706705434637</v>
      </c>
    </row>
    <row r="523" spans="2:12">
      <c r="B523" s="42">
        <v>0.11058076723532824</v>
      </c>
      <c r="C523" s="42">
        <v>56688.436536759546</v>
      </c>
      <c r="D523" s="42">
        <v>454.40687276833398</v>
      </c>
      <c r="E523" s="42">
        <v>324.20545060579241</v>
      </c>
      <c r="F523">
        <f t="shared" si="56"/>
        <v>-56688.436536759546</v>
      </c>
      <c r="G523">
        <f t="shared" si="57"/>
        <v>7486.4519180883217</v>
      </c>
      <c r="H523">
        <f t="shared" si="58"/>
        <v>10611.28604998932</v>
      </c>
      <c r="I523">
        <f t="shared" si="59"/>
        <v>26005.10574663533</v>
      </c>
      <c r="J523">
        <f t="shared" si="60"/>
        <v>14302.55500961333</v>
      </c>
      <c r="K523">
        <f t="shared" si="61"/>
        <v>25398.655964842677</v>
      </c>
      <c r="L523" s="42">
        <f t="shared" si="62"/>
        <v>2076.1746648401113</v>
      </c>
    </row>
    <row r="524" spans="2:12">
      <c r="B524" s="42">
        <v>0.17174901577806942</v>
      </c>
      <c r="C524" s="42">
        <v>57535.477767265846</v>
      </c>
      <c r="D524" s="42">
        <v>467.5695059053316</v>
      </c>
      <c r="E524" s="42">
        <v>368.42371898556473</v>
      </c>
      <c r="F524">
        <f t="shared" si="56"/>
        <v>-57535.477767265846</v>
      </c>
      <c r="G524">
        <f t="shared" si="57"/>
        <v>4883.5374004333653</v>
      </c>
      <c r="H524">
        <f t="shared" si="58"/>
        <v>7263.0362865077686</v>
      </c>
      <c r="I524">
        <f t="shared" si="59"/>
        <v>22266.911832026126</v>
      </c>
      <c r="J524">
        <f t="shared" si="60"/>
        <v>11897.079989013338</v>
      </c>
      <c r="K524">
        <f t="shared" si="61"/>
        <v>23726.998504593037</v>
      </c>
      <c r="L524" s="42">
        <f t="shared" si="62"/>
        <v>-17184.508544700573</v>
      </c>
    </row>
    <row r="525" spans="2:12">
      <c r="B525" s="42">
        <v>0.15077669606616415</v>
      </c>
      <c r="C525" s="42">
        <v>55750.60274056215</v>
      </c>
      <c r="D525" s="42">
        <v>523.35123752555921</v>
      </c>
      <c r="E525" s="42">
        <v>355.71581163975952</v>
      </c>
      <c r="F525">
        <f t="shared" si="56"/>
        <v>-55750.60274056215</v>
      </c>
      <c r="G525">
        <f t="shared" si="57"/>
        <v>9860.6729331339448</v>
      </c>
      <c r="H525">
        <f t="shared" si="58"/>
        <v>13883.923154393135</v>
      </c>
      <c r="I525">
        <f t="shared" si="59"/>
        <v>32037.656788842425</v>
      </c>
      <c r="J525">
        <f t="shared" si="60"/>
        <v>17710.941496017331</v>
      </c>
      <c r="K525">
        <f t="shared" si="61"/>
        <v>29449.096957304602</v>
      </c>
      <c r="L525" s="42">
        <f t="shared" si="62"/>
        <v>9015.8781724505025</v>
      </c>
    </row>
    <row r="526" spans="2:12">
      <c r="B526" s="42">
        <v>0.10009155552842799</v>
      </c>
      <c r="C526" s="42">
        <v>57997.985778374583</v>
      </c>
      <c r="D526" s="42">
        <v>526.40919217505416</v>
      </c>
      <c r="E526" s="42">
        <v>342.58217108676411</v>
      </c>
      <c r="F526">
        <f t="shared" si="56"/>
        <v>-57997.985778374583</v>
      </c>
      <c r="G526">
        <f t="shared" si="57"/>
        <v>11128.47895748772</v>
      </c>
      <c r="H526">
        <f t="shared" si="58"/>
        <v>15540.327463606674</v>
      </c>
      <c r="I526">
        <f t="shared" si="59"/>
        <v>34165.224158452096</v>
      </c>
      <c r="J526">
        <f t="shared" si="60"/>
        <v>19024.616840113529</v>
      </c>
      <c r="K526">
        <f t="shared" si="61"/>
        <v>30558.749961851863</v>
      </c>
      <c r="L526" s="42">
        <f t="shared" si="62"/>
        <v>22577.938701566527</v>
      </c>
    </row>
    <row r="527" spans="2:12">
      <c r="B527" s="42">
        <v>0.12100894192327648</v>
      </c>
      <c r="C527" s="42">
        <v>59916.531876583147</v>
      </c>
      <c r="D527" s="42">
        <v>487.44010742515337</v>
      </c>
      <c r="E527" s="42">
        <v>335.03646961882384</v>
      </c>
      <c r="F527">
        <f t="shared" si="56"/>
        <v>-59916.531876583147</v>
      </c>
      <c r="G527">
        <f t="shared" si="57"/>
        <v>8965.3300576799829</v>
      </c>
      <c r="H527">
        <f t="shared" si="58"/>
        <v>12623.01736503189</v>
      </c>
      <c r="I527">
        <f t="shared" si="59"/>
        <v>29441.58757286294</v>
      </c>
      <c r="J527">
        <f t="shared" si="60"/>
        <v>16276.931669057283</v>
      </c>
      <c r="K527">
        <f t="shared" si="61"/>
        <v>27612.39539780877</v>
      </c>
      <c r="L527" s="42">
        <f t="shared" si="62"/>
        <v>4930.044346521976</v>
      </c>
    </row>
    <row r="528" spans="2:12">
      <c r="B528" s="42">
        <v>0.1174199652088992</v>
      </c>
      <c r="C528" s="42">
        <v>59466.689046906948</v>
      </c>
      <c r="D528" s="42">
        <v>499.54985198522905</v>
      </c>
      <c r="E528" s="42">
        <v>325.63066499832149</v>
      </c>
      <c r="F528">
        <f t="shared" si="56"/>
        <v>-59466.689046906948</v>
      </c>
      <c r="G528">
        <f t="shared" si="57"/>
        <v>10577.586291085543</v>
      </c>
      <c r="H528">
        <f t="shared" si="58"/>
        <v>14751.646778771326</v>
      </c>
      <c r="I528">
        <f t="shared" si="59"/>
        <v>32413.553270058292</v>
      </c>
      <c r="J528">
        <f t="shared" si="60"/>
        <v>18070.834070863977</v>
      </c>
      <c r="K528">
        <f t="shared" si="61"/>
        <v>29280.02441480758</v>
      </c>
      <c r="L528" s="42">
        <f t="shared" si="62"/>
        <v>13442.927682997188</v>
      </c>
    </row>
    <row r="529" spans="2:12">
      <c r="B529" s="42">
        <v>0.10338755455183569</v>
      </c>
      <c r="C529" s="42">
        <v>59436.01794488357</v>
      </c>
      <c r="D529" s="42">
        <v>510.16113773003326</v>
      </c>
      <c r="E529" s="42">
        <v>343.60759300515764</v>
      </c>
      <c r="F529">
        <f t="shared" si="56"/>
        <v>-59436.01794488357</v>
      </c>
      <c r="G529">
        <f t="shared" si="57"/>
        <v>9892.8333384197467</v>
      </c>
      <c r="H529">
        <f t="shared" si="58"/>
        <v>13890.118411816766</v>
      </c>
      <c r="I529">
        <f t="shared" si="59"/>
        <v>31661.754203924676</v>
      </c>
      <c r="J529">
        <f t="shared" si="60"/>
        <v>17545.250404370247</v>
      </c>
      <c r="K529">
        <f t="shared" si="61"/>
        <v>29063.294167912838</v>
      </c>
      <c r="L529" s="42">
        <f t="shared" si="62"/>
        <v>14116.281519151145</v>
      </c>
    </row>
    <row r="530" spans="2:12">
      <c r="B530" s="42">
        <v>0.11182592242194891</v>
      </c>
      <c r="C530" s="42">
        <v>56426.129947813351</v>
      </c>
      <c r="D530" s="42">
        <v>489.81444746238594</v>
      </c>
      <c r="E530" s="42">
        <v>364.52192754905849</v>
      </c>
      <c r="F530">
        <f t="shared" si="56"/>
        <v>-56426.129947813351</v>
      </c>
      <c r="G530">
        <f t="shared" si="57"/>
        <v>6775.0715659047228</v>
      </c>
      <c r="H530">
        <f t="shared" si="58"/>
        <v>9782.0920438245812</v>
      </c>
      <c r="I530">
        <f t="shared" si="59"/>
        <v>26014.102603228861</v>
      </c>
      <c r="J530">
        <f t="shared" si="60"/>
        <v>14122.288277840511</v>
      </c>
      <c r="K530">
        <f t="shared" si="61"/>
        <v>25934.26801355022</v>
      </c>
      <c r="L530" s="42">
        <f t="shared" si="62"/>
        <v>1015.1402179486849</v>
      </c>
    </row>
    <row r="531" spans="2:12">
      <c r="B531" s="42">
        <v>0.16165654469435714</v>
      </c>
      <c r="C531" s="42">
        <v>59754.020813623465</v>
      </c>
      <c r="D531" s="42">
        <v>509.51109347819454</v>
      </c>
      <c r="E531" s="42">
        <v>369.90081484420301</v>
      </c>
      <c r="F531">
        <f t="shared" si="56"/>
        <v>-59754.020813623465</v>
      </c>
      <c r="G531">
        <f t="shared" si="57"/>
        <v>7743.2224494155735</v>
      </c>
      <c r="H531">
        <f t="shared" si="58"/>
        <v>11093.869136631365</v>
      </c>
      <c r="I531">
        <f t="shared" si="59"/>
        <v>28201.31534775842</v>
      </c>
      <c r="J531">
        <f t="shared" si="60"/>
        <v>15385.88885158849</v>
      </c>
      <c r="K531">
        <f t="shared" si="61"/>
        <v>27323.324076052129</v>
      </c>
      <c r="L531" s="42">
        <f t="shared" si="62"/>
        <v>-5511.4654146967951</v>
      </c>
    </row>
    <row r="532" spans="2:12">
      <c r="B532" s="42">
        <v>0.1142338328196051</v>
      </c>
      <c r="C532" s="42">
        <v>58623.920407727288</v>
      </c>
      <c r="D532" s="42">
        <v>545.11398663289287</v>
      </c>
      <c r="E532" s="42">
        <v>346.44886623737295</v>
      </c>
      <c r="F532">
        <f t="shared" si="56"/>
        <v>-58623.920407727288</v>
      </c>
      <c r="G532">
        <f t="shared" si="57"/>
        <v>12147.183751945555</v>
      </c>
      <c r="H532">
        <f t="shared" si="58"/>
        <v>16915.146641438037</v>
      </c>
      <c r="I532">
        <f t="shared" si="59"/>
        <v>36401.187170018624</v>
      </c>
      <c r="J532">
        <f t="shared" si="60"/>
        <v>20323.893551438949</v>
      </c>
      <c r="K532">
        <f t="shared" si="61"/>
        <v>31957.303384502702</v>
      </c>
      <c r="L532" s="42">
        <f t="shared" si="62"/>
        <v>24009.630563599756</v>
      </c>
    </row>
    <row r="533" spans="2:12">
      <c r="B533" s="42">
        <v>0.11784722434156317</v>
      </c>
      <c r="C533" s="42">
        <v>55320.291756950588</v>
      </c>
      <c r="D533" s="42">
        <v>492.2681356242561</v>
      </c>
      <c r="E533" s="42">
        <v>322.60780663472394</v>
      </c>
      <c r="F533">
        <f t="shared" si="56"/>
        <v>-55320.291756950588</v>
      </c>
      <c r="G533">
        <f t="shared" si="57"/>
        <v>10302.413098544268</v>
      </c>
      <c r="H533">
        <f t="shared" si="58"/>
        <v>14374.260994293039</v>
      </c>
      <c r="I533">
        <f t="shared" si="59"/>
        <v>31737.348551896728</v>
      </c>
      <c r="J533">
        <f t="shared" si="60"/>
        <v>17686.435132908111</v>
      </c>
      <c r="K533">
        <f t="shared" si="61"/>
        <v>28832.696310312203</v>
      </c>
      <c r="L533" s="42">
        <f t="shared" si="62"/>
        <v>15965.516130076408</v>
      </c>
    </row>
    <row r="534" spans="2:12">
      <c r="B534" s="42">
        <v>0.17036957914975434</v>
      </c>
      <c r="C534" s="42">
        <v>56624.80544450209</v>
      </c>
      <c r="D534" s="42">
        <v>524.80086672566915</v>
      </c>
      <c r="E534" s="42">
        <v>350.11871700186163</v>
      </c>
      <c r="F534">
        <f t="shared" si="56"/>
        <v>-56624.80544450209</v>
      </c>
      <c r="G534">
        <f t="shared" si="57"/>
        <v>10411.364177373578</v>
      </c>
      <c r="H534">
        <f t="shared" si="58"/>
        <v>14603.735770744963</v>
      </c>
      <c r="I534">
        <f t="shared" si="59"/>
        <v>32965.730765709406</v>
      </c>
      <c r="J534">
        <f t="shared" si="60"/>
        <v>18283.377178258619</v>
      </c>
      <c r="K534">
        <f t="shared" si="61"/>
        <v>29934.878383739742</v>
      </c>
      <c r="L534" s="42">
        <f t="shared" si="62"/>
        <v>6872.5101836202957</v>
      </c>
    </row>
    <row r="535" spans="2:12">
      <c r="B535" s="42">
        <v>0.1304849391155736</v>
      </c>
      <c r="C535" s="42">
        <v>55834.681234168522</v>
      </c>
      <c r="D535" s="42">
        <v>547.54325998718218</v>
      </c>
      <c r="E535" s="42">
        <v>354.38367870113223</v>
      </c>
      <c r="F535">
        <f t="shared" si="56"/>
        <v>-55834.681234168522</v>
      </c>
      <c r="G535">
        <f t="shared" si="57"/>
        <v>11684.877162999357</v>
      </c>
      <c r="H535">
        <f t="shared" si="58"/>
        <v>16320.707113864562</v>
      </c>
      <c r="I535">
        <f t="shared" si="59"/>
        <v>35740.20508438367</v>
      </c>
      <c r="J535">
        <f t="shared" si="60"/>
        <v>19898.026062807094</v>
      </c>
      <c r="K535">
        <f t="shared" si="61"/>
        <v>31663.251441999568</v>
      </c>
      <c r="L535" s="42">
        <f t="shared" si="62"/>
        <v>21341.540403571849</v>
      </c>
    </row>
    <row r="536" spans="2:12">
      <c r="B536" s="42">
        <v>0.12379528183843502</v>
      </c>
      <c r="C536" s="42">
        <v>59251.228370006407</v>
      </c>
      <c r="D536" s="42">
        <v>541.30222479934082</v>
      </c>
      <c r="E536" s="42">
        <v>341.92754905850398</v>
      </c>
      <c r="F536">
        <f t="shared" si="56"/>
        <v>-59251.228370006407</v>
      </c>
      <c r="G536">
        <f t="shared" si="57"/>
        <v>12238.25403607288</v>
      </c>
      <c r="H536">
        <f t="shared" si="58"/>
        <v>17023.246253852965</v>
      </c>
      <c r="I536">
        <f t="shared" si="59"/>
        <v>36423.398541215254</v>
      </c>
      <c r="J536">
        <f t="shared" si="60"/>
        <v>20357.787408062992</v>
      </c>
      <c r="K536">
        <f t="shared" si="61"/>
        <v>31911.232642597737</v>
      </c>
      <c r="L536" s="42">
        <f t="shared" si="62"/>
        <v>21349.317302510513</v>
      </c>
    </row>
    <row r="537" spans="2:12">
      <c r="B537" s="42">
        <v>0.19276711325418869</v>
      </c>
      <c r="C537" s="42">
        <v>59451.73497726371</v>
      </c>
      <c r="D537" s="42">
        <v>455.08133182775356</v>
      </c>
      <c r="E537" s="42">
        <v>321.11697744682152</v>
      </c>
      <c r="F537">
        <f t="shared" si="56"/>
        <v>-59451.73497726371</v>
      </c>
      <c r="G537">
        <f t="shared" si="57"/>
        <v>7781.4163640247798</v>
      </c>
      <c r="H537">
        <f t="shared" si="58"/>
        <v>10996.560869167151</v>
      </c>
      <c r="I537">
        <f t="shared" si="59"/>
        <v>26498.901333658865</v>
      </c>
      <c r="J537">
        <f t="shared" si="60"/>
        <v>14607.636341441084</v>
      </c>
      <c r="K537">
        <f t="shared" si="61"/>
        <v>25655.670644245736</v>
      </c>
      <c r="L537" s="42">
        <f t="shared" si="62"/>
        <v>-11738.949915350364</v>
      </c>
    </row>
    <row r="538" spans="2:12">
      <c r="B538" s="42">
        <v>0.17952818384350108</v>
      </c>
      <c r="C538" s="42">
        <v>58688.009277626879</v>
      </c>
      <c r="D538" s="42">
        <v>535.54033021027249</v>
      </c>
      <c r="E538" s="42">
        <v>354.54237495040741</v>
      </c>
      <c r="F538">
        <f t="shared" si="56"/>
        <v>-58688.009277626879</v>
      </c>
      <c r="G538">
        <f t="shared" si="57"/>
        <v>10819.973448896755</v>
      </c>
      <c r="H538">
        <f t="shared" si="58"/>
        <v>15163.92437513352</v>
      </c>
      <c r="I538">
        <f t="shared" si="59"/>
        <v>33967.464217047629</v>
      </c>
      <c r="J538">
        <f t="shared" si="60"/>
        <v>18853.078402050844</v>
      </c>
      <c r="K538">
        <f t="shared" si="61"/>
        <v>30596.837061677903</v>
      </c>
      <c r="L538" s="42">
        <f t="shared" si="62"/>
        <v>5223.5079331821362</v>
      </c>
    </row>
    <row r="539" spans="2:12">
      <c r="B539" s="42">
        <v>0.16709799493392744</v>
      </c>
      <c r="C539" s="42">
        <v>59981.078524124881</v>
      </c>
      <c r="D539" s="42">
        <v>457.81884212775049</v>
      </c>
      <c r="E539" s="42">
        <v>326.91244239631334</v>
      </c>
      <c r="F539">
        <f t="shared" si="56"/>
        <v>-59981.078524124881</v>
      </c>
      <c r="G539">
        <f t="shared" si="57"/>
        <v>7512.142399365217</v>
      </c>
      <c r="H539">
        <f t="shared" si="58"/>
        <v>10653.895992919712</v>
      </c>
      <c r="I539">
        <f t="shared" si="59"/>
        <v>26156.758323923466</v>
      </c>
      <c r="J539">
        <f t="shared" si="60"/>
        <v>14379.425031281475</v>
      </c>
      <c r="K539">
        <f t="shared" si="61"/>
        <v>25525.661793877989</v>
      </c>
      <c r="L539" s="42">
        <f t="shared" si="62"/>
        <v>-9731.0777018172103</v>
      </c>
    </row>
    <row r="540" spans="2:12">
      <c r="B540" s="42">
        <v>0.12423474837488938</v>
      </c>
      <c r="C540" s="42">
        <v>56535.691396832175</v>
      </c>
      <c r="D540" s="42">
        <v>462.86049989318519</v>
      </c>
      <c r="E540" s="42">
        <v>360.00213629566332</v>
      </c>
      <c r="F540">
        <f t="shared" si="56"/>
        <v>-56535.691396832175</v>
      </c>
      <c r="G540">
        <f t="shared" si="57"/>
        <v>5222.924588763085</v>
      </c>
      <c r="H540">
        <f t="shared" si="58"/>
        <v>7691.5253151036095</v>
      </c>
      <c r="I540">
        <f t="shared" si="59"/>
        <v>22657.359538560133</v>
      </c>
      <c r="J540">
        <f t="shared" si="60"/>
        <v>12165.832087160863</v>
      </c>
      <c r="K540">
        <f t="shared" si="61"/>
        <v>23851.587267677845</v>
      </c>
      <c r="L540" s="42">
        <f t="shared" si="62"/>
        <v>-8962.080535927731</v>
      </c>
    </row>
    <row r="541" spans="2:12">
      <c r="B541" s="42">
        <v>0.15298928800317393</v>
      </c>
      <c r="C541" s="42">
        <v>57614.368114261299</v>
      </c>
      <c r="D541" s="42">
        <v>493.55601672414321</v>
      </c>
      <c r="E541" s="42">
        <v>330.70741904965359</v>
      </c>
      <c r="F541">
        <f t="shared" si="56"/>
        <v>-57614.368114261299</v>
      </c>
      <c r="G541">
        <f t="shared" si="57"/>
        <v>9745.8836634418803</v>
      </c>
      <c r="H541">
        <f t="shared" si="58"/>
        <v>13654.250007629629</v>
      </c>
      <c r="I541">
        <f t="shared" si="59"/>
        <v>30888.628803369247</v>
      </c>
      <c r="J541">
        <f t="shared" si="60"/>
        <v>17149.223914304028</v>
      </c>
      <c r="K541">
        <f t="shared" si="61"/>
        <v>28427.654652546771</v>
      </c>
      <c r="L541" s="42">
        <f t="shared" si="62"/>
        <v>4916.8001002363471</v>
      </c>
    </row>
    <row r="542" spans="2:12">
      <c r="B542" s="42">
        <v>0.13707388531144141</v>
      </c>
      <c r="C542" s="42">
        <v>56591.998046815395</v>
      </c>
      <c r="D542" s="42">
        <v>529.61058381908629</v>
      </c>
      <c r="E542" s="42">
        <v>321.93334757530442</v>
      </c>
      <c r="F542">
        <f t="shared" si="56"/>
        <v>-56591.998046815395</v>
      </c>
      <c r="G542">
        <f t="shared" si="57"/>
        <v>13007.683645130775</v>
      </c>
      <c r="H542">
        <f t="shared" si="58"/>
        <v>17991.937314981544</v>
      </c>
      <c r="I542">
        <f t="shared" si="59"/>
        <v>37275.676747947626</v>
      </c>
      <c r="J542">
        <f t="shared" si="60"/>
        <v>20951.842402417067</v>
      </c>
      <c r="K542">
        <f t="shared" si="61"/>
        <v>32161.997131260108</v>
      </c>
      <c r="L542" s="42">
        <f t="shared" si="62"/>
        <v>23571.25673688413</v>
      </c>
    </row>
    <row r="543" spans="2:12">
      <c r="B543" s="42">
        <v>0.11123081148716697</v>
      </c>
      <c r="C543" s="42">
        <v>55206.6103091525</v>
      </c>
      <c r="D543" s="42">
        <v>490.31189916684468</v>
      </c>
      <c r="E543" s="42">
        <v>323.4485915707877</v>
      </c>
      <c r="F543">
        <f t="shared" si="56"/>
        <v>-55206.6103091525</v>
      </c>
      <c r="G543">
        <f t="shared" si="57"/>
        <v>10096.257515182955</v>
      </c>
      <c r="H543">
        <f t="shared" si="58"/>
        <v>14100.976897488323</v>
      </c>
      <c r="I543">
        <f t="shared" si="59"/>
        <v>31344.117557298501</v>
      </c>
      <c r="J543">
        <f t="shared" si="60"/>
        <v>17450.936002685627</v>
      </c>
      <c r="K543">
        <f t="shared" si="61"/>
        <v>28606.737266151918</v>
      </c>
      <c r="L543" s="42">
        <f t="shared" si="62"/>
        <v>16468.374720259711</v>
      </c>
    </row>
    <row r="544" spans="2:12">
      <c r="B544" s="42">
        <v>0.14716940824610128</v>
      </c>
      <c r="C544" s="42">
        <v>57642.445142979217</v>
      </c>
      <c r="D544" s="42">
        <v>491.78899502548296</v>
      </c>
      <c r="E544" s="42">
        <v>362.63893551438946</v>
      </c>
      <c r="F544">
        <f t="shared" si="56"/>
        <v>-57642.445142979217</v>
      </c>
      <c r="G544">
        <f t="shared" si="57"/>
        <v>7065.9038056581339</v>
      </c>
      <c r="H544">
        <f t="shared" si="58"/>
        <v>10165.505233924381</v>
      </c>
      <c r="I544">
        <f t="shared" si="59"/>
        <v>26543.409527878663</v>
      </c>
      <c r="J544">
        <f t="shared" si="60"/>
        <v>14442.738731040379</v>
      </c>
      <c r="K544">
        <f t="shared" si="61"/>
        <v>26228.539689321573</v>
      </c>
      <c r="L544" s="42">
        <f t="shared" si="62"/>
        <v>-4634.8418084787063</v>
      </c>
    </row>
    <row r="545" spans="2:12">
      <c r="B545" s="42">
        <v>0.10117496261482589</v>
      </c>
      <c r="C545" s="42">
        <v>59646.90084536271</v>
      </c>
      <c r="D545" s="42">
        <v>516.04510635700558</v>
      </c>
      <c r="E545" s="42">
        <v>330.92562639240697</v>
      </c>
      <c r="F545">
        <f t="shared" si="56"/>
        <v>-59646.90084536271</v>
      </c>
      <c r="G545">
        <f t="shared" si="57"/>
        <v>11325.15243995484</v>
      </c>
      <c r="H545">
        <f t="shared" si="58"/>
        <v>15768.019959105211</v>
      </c>
      <c r="I545">
        <f t="shared" si="59"/>
        <v>34144.105349894722</v>
      </c>
      <c r="J545">
        <f t="shared" si="60"/>
        <v>19065.829035309926</v>
      </c>
      <c r="K545">
        <f t="shared" si="61"/>
        <v>30392.729270302443</v>
      </c>
      <c r="L545" s="42">
        <f t="shared" si="62"/>
        <v>20950.032862356922</v>
      </c>
    </row>
    <row r="546" spans="2:12">
      <c r="B546" s="42">
        <v>0.19252601702932831</v>
      </c>
      <c r="C546" s="42">
        <v>57043.214209418009</v>
      </c>
      <c r="D546" s="42">
        <v>468.89095736564224</v>
      </c>
      <c r="E546" s="42">
        <v>342.29834894863734</v>
      </c>
      <c r="F546">
        <f t="shared" si="56"/>
        <v>-57043.214209418009</v>
      </c>
      <c r="G546">
        <f t="shared" si="57"/>
        <v>7067.3900570696132</v>
      </c>
      <c r="H546">
        <f t="shared" si="58"/>
        <v>10105.612659077729</v>
      </c>
      <c r="I546">
        <f t="shared" si="59"/>
        <v>25803.891109958186</v>
      </c>
      <c r="J546">
        <f t="shared" si="60"/>
        <v>14100.754417554246</v>
      </c>
      <c r="K546">
        <f t="shared" si="61"/>
        <v>25515.309915463724</v>
      </c>
      <c r="L546" s="42">
        <f t="shared" si="62"/>
        <v>-11243.81541465983</v>
      </c>
    </row>
    <row r="547" spans="2:12">
      <c r="B547" s="42">
        <v>0.19193700979644154</v>
      </c>
      <c r="C547" s="42">
        <v>55346.690267647326</v>
      </c>
      <c r="D547" s="42">
        <v>548.48628192999058</v>
      </c>
      <c r="E547" s="42">
        <v>363.06314279610586</v>
      </c>
      <c r="F547">
        <f t="shared" si="56"/>
        <v>-55346.690267647326</v>
      </c>
      <c r="G547">
        <f t="shared" si="57"/>
        <v>11057.474593340863</v>
      </c>
      <c r="H547">
        <f t="shared" si="58"/>
        <v>15507.629932554093</v>
      </c>
      <c r="I547">
        <f t="shared" si="59"/>
        <v>34766.914883877078</v>
      </c>
      <c r="J547">
        <f t="shared" si="60"/>
        <v>19284.768822290724</v>
      </c>
      <c r="K547">
        <f t="shared" si="61"/>
        <v>31190.751670888396</v>
      </c>
      <c r="L547" s="42">
        <f t="shared" si="62"/>
        <v>7895.3585403046945</v>
      </c>
    </row>
    <row r="548" spans="2:12">
      <c r="B548" s="42">
        <v>0.12269356364635152</v>
      </c>
      <c r="C548" s="42">
        <v>58375.041962950527</v>
      </c>
      <c r="D548" s="42">
        <v>500.34638508255256</v>
      </c>
      <c r="E548" s="42">
        <v>350.3643910031434</v>
      </c>
      <c r="F548">
        <f t="shared" si="56"/>
        <v>-58375.041962950527</v>
      </c>
      <c r="G548">
        <f t="shared" si="57"/>
        <v>8655.4420606097592</v>
      </c>
      <c r="H548">
        <f t="shared" si="58"/>
        <v>12255.009918515581</v>
      </c>
      <c r="I548">
        <f t="shared" si="59"/>
        <v>29363.930173650318</v>
      </c>
      <c r="J548">
        <f t="shared" si="60"/>
        <v>16160.637836848047</v>
      </c>
      <c r="K548">
        <f t="shared" si="61"/>
        <v>27767.160863063447</v>
      </c>
      <c r="L548" s="42">
        <f t="shared" si="62"/>
        <v>5547.7781496414627</v>
      </c>
    </row>
    <row r="549" spans="2:12">
      <c r="B549" s="42">
        <v>0.14532914212469863</v>
      </c>
      <c r="C549" s="42">
        <v>59381.694998016297</v>
      </c>
      <c r="D549" s="42">
        <v>507.76543473616749</v>
      </c>
      <c r="E549" s="42">
        <v>321.97912533951842</v>
      </c>
      <c r="F549">
        <f t="shared" si="56"/>
        <v>-59381.694998016297</v>
      </c>
      <c r="G549">
        <f t="shared" si="57"/>
        <v>11453.015839106421</v>
      </c>
      <c r="H549">
        <f t="shared" si="58"/>
        <v>15911.887264625999</v>
      </c>
      <c r="I549">
        <f t="shared" si="59"/>
        <v>34080.425428022099</v>
      </c>
      <c r="J549">
        <f t="shared" si="60"/>
        <v>19069.497360148933</v>
      </c>
      <c r="K549">
        <f t="shared" si="61"/>
        <v>30236.694235053561</v>
      </c>
      <c r="L549" s="42">
        <f t="shared" si="62"/>
        <v>11855.804918640815</v>
      </c>
    </row>
    <row r="550" spans="2:12">
      <c r="B550" s="42">
        <v>0.17697683645130774</v>
      </c>
      <c r="C550" s="42">
        <v>58951.078829309976</v>
      </c>
      <c r="D550" s="42">
        <v>541.75389873958557</v>
      </c>
      <c r="E550" s="42">
        <v>334.66719565416423</v>
      </c>
      <c r="F550">
        <f t="shared" si="56"/>
        <v>-58951.078829309976</v>
      </c>
      <c r="G550">
        <f t="shared" si="57"/>
        <v>12851.151158177439</v>
      </c>
      <c r="H550">
        <f t="shared" si="58"/>
        <v>17821.232032227548</v>
      </c>
      <c r="I550">
        <f t="shared" si="59"/>
        <v>37418.668172246471</v>
      </c>
      <c r="J550">
        <f t="shared" si="60"/>
        <v>20977.459639271219</v>
      </c>
      <c r="K550">
        <f t="shared" si="61"/>
        <v>32415.642567217019</v>
      </c>
      <c r="L550" s="42">
        <f t="shared" si="62"/>
        <v>13066.19102122225</v>
      </c>
    </row>
    <row r="551" spans="2:12">
      <c r="B551" s="42">
        <v>0.10052491836298716</v>
      </c>
      <c r="C551" s="42">
        <v>55310.831019013029</v>
      </c>
      <c r="D551" s="42">
        <v>485.26413769951478</v>
      </c>
      <c r="E551" s="42">
        <v>354.70564897610399</v>
      </c>
      <c r="F551">
        <f t="shared" si="56"/>
        <v>-55310.831019013029</v>
      </c>
      <c r="G551">
        <f t="shared" si="57"/>
        <v>7237.3018585772297</v>
      </c>
      <c r="H551">
        <f t="shared" si="58"/>
        <v>10370.70558793909</v>
      </c>
      <c r="I551">
        <f t="shared" si="59"/>
        <v>26606.24103518785</v>
      </c>
      <c r="J551">
        <f t="shared" si="60"/>
        <v>14516.263924069952</v>
      </c>
      <c r="K551">
        <f t="shared" si="61"/>
        <v>26162.082583086645</v>
      </c>
      <c r="L551" s="42">
        <f t="shared" si="62"/>
        <v>5890.9176410446453</v>
      </c>
    </row>
    <row r="552" spans="2:12">
      <c r="B552" s="42">
        <v>0.17299417096469008</v>
      </c>
      <c r="C552" s="42">
        <v>55460.066530350661</v>
      </c>
      <c r="D552" s="42">
        <v>525.68895535142065</v>
      </c>
      <c r="E552" s="42">
        <v>323.20139164403213</v>
      </c>
      <c r="F552">
        <f t="shared" si="56"/>
        <v>-55460.066530350661</v>
      </c>
      <c r="G552">
        <f t="shared" si="57"/>
        <v>12627.804498428297</v>
      </c>
      <c r="H552">
        <f t="shared" si="58"/>
        <v>17487.506027405623</v>
      </c>
      <c r="I552">
        <f t="shared" si="59"/>
        <v>36540.809350871299</v>
      </c>
      <c r="J552">
        <f t="shared" si="60"/>
        <v>20513.138828699604</v>
      </c>
      <c r="K552">
        <f t="shared" si="61"/>
        <v>31735.739005706961</v>
      </c>
      <c r="L552" s="42">
        <f t="shared" si="62"/>
        <v>15782.558312823399</v>
      </c>
    </row>
    <row r="553" spans="2:12">
      <c r="B553" s="42">
        <v>0.180474257637257</v>
      </c>
      <c r="C553" s="42">
        <v>55212.714011047698</v>
      </c>
      <c r="D553" s="42">
        <v>519.41129795220797</v>
      </c>
      <c r="E553" s="42">
        <v>348.1594286935026</v>
      </c>
      <c r="F553">
        <f t="shared" si="56"/>
        <v>-55212.714011047698</v>
      </c>
      <c r="G553">
        <f t="shared" si="57"/>
        <v>10185.447859126558</v>
      </c>
      <c r="H553">
        <f t="shared" si="58"/>
        <v>14295.492721335489</v>
      </c>
      <c r="I553">
        <f t="shared" si="59"/>
        <v>32429.642628254027</v>
      </c>
      <c r="J553">
        <f t="shared" si="60"/>
        <v>17976.61732840968</v>
      </c>
      <c r="K553">
        <f t="shared" si="61"/>
        <v>29585.990783410132</v>
      </c>
      <c r="L553" s="42">
        <f t="shared" si="62"/>
        <v>5551.6085156692243</v>
      </c>
    </row>
    <row r="554" spans="2:12">
      <c r="L554">
        <f>SUM(L53:L553)/500</f>
        <v>3464.0894455693951</v>
      </c>
    </row>
    <row r="555" spans="2:12">
      <c r="L555">
        <f>STDEV(L54:L553)</f>
        <v>11835.957246082586</v>
      </c>
    </row>
    <row r="556" spans="2:12">
      <c r="L556">
        <f>NORMDIST(0,L554,L555,1)</f>
        <v>0.38488526905839371</v>
      </c>
    </row>
  </sheetData>
  <mergeCells count="40">
    <mergeCell ref="C17:D17"/>
    <mergeCell ref="C11:D11"/>
    <mergeCell ref="C6:D6"/>
    <mergeCell ref="B7:I7"/>
    <mergeCell ref="C8:D8"/>
    <mergeCell ref="C9:D9"/>
    <mergeCell ref="C10:D10"/>
    <mergeCell ref="C12:D12"/>
    <mergeCell ref="B13:H13"/>
    <mergeCell ref="C14:D14"/>
    <mergeCell ref="C15:D15"/>
    <mergeCell ref="C16:D16"/>
    <mergeCell ref="C22:D22"/>
    <mergeCell ref="B39:I39"/>
    <mergeCell ref="C41:D41"/>
    <mergeCell ref="C42:D42"/>
    <mergeCell ref="C43:D43"/>
    <mergeCell ref="B25:I25"/>
    <mergeCell ref="B28:I28"/>
    <mergeCell ref="B34:I34"/>
    <mergeCell ref="C30:D30"/>
    <mergeCell ref="C31:D31"/>
    <mergeCell ref="C32:D32"/>
    <mergeCell ref="C33:D33"/>
    <mergeCell ref="B2:I4"/>
    <mergeCell ref="F52:K52"/>
    <mergeCell ref="C35:D35"/>
    <mergeCell ref="C36:D36"/>
    <mergeCell ref="C37:D37"/>
    <mergeCell ref="C38:D38"/>
    <mergeCell ref="C40:D40"/>
    <mergeCell ref="C23:D23"/>
    <mergeCell ref="C24:D24"/>
    <mergeCell ref="C26:D26"/>
    <mergeCell ref="C27:D27"/>
    <mergeCell ref="C29:D29"/>
    <mergeCell ref="C18:D18"/>
    <mergeCell ref="C19:D19"/>
    <mergeCell ref="C20:D20"/>
    <mergeCell ref="C21:D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11</vt:i4>
      </vt:variant>
    </vt:vector>
  </HeadingPairs>
  <TitlesOfParts>
    <vt:vector size="16" baseType="lpstr">
      <vt:lpstr>1.Исходные данные</vt:lpstr>
      <vt:lpstr>2.ставка дисконтирования</vt:lpstr>
      <vt:lpstr>3.анализ чувствительности</vt:lpstr>
      <vt:lpstr>4.сценарный анализ</vt:lpstr>
      <vt:lpstr>5.Имитационное моделирование</vt:lpstr>
      <vt:lpstr>IRR</vt:lpstr>
      <vt:lpstr>MIRR</vt:lpstr>
      <vt:lpstr>NPV</vt:lpstr>
      <vt:lpstr>PI</vt:lpstr>
      <vt:lpstr>Вероятность_сценария</vt:lpstr>
      <vt:lpstr>Изменение_объема_продаж__изменение_в_процентах_для_каждого_периода_на_одинаковое_количество_процентов</vt:lpstr>
      <vt:lpstr>множитель_дисконтирования</vt:lpstr>
      <vt:lpstr>Первоначальные_инвестиции</vt:lpstr>
      <vt:lpstr>Переменные_затраты_на_единицу</vt:lpstr>
      <vt:lpstr>Ставка_дисконтирования</vt:lpstr>
      <vt:lpstr>Цена</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dc:creator>
  <cp:lastModifiedBy>Ирина</cp:lastModifiedBy>
  <dcterms:created xsi:type="dcterms:W3CDTF">2013-12-08T01:14:35Z</dcterms:created>
  <dcterms:modified xsi:type="dcterms:W3CDTF">2019-09-23T13:51:30Z</dcterms:modified>
</cp:coreProperties>
</file>