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570" windowHeight="11595" firstSheet="1" activeTab="9"/>
  </bookViews>
  <sheets>
    <sheet name="Титул" sheetId="1" r:id="rId1"/>
    <sheet name="Инфо" sheetId="2" r:id="rId2"/>
    <sheet name="Инвестиции" sheetId="7" r:id="rId3"/>
    <sheet name="Выручка" sheetId="4" r:id="rId4"/>
    <sheet name="Производство" sheetId="3" r:id="rId5"/>
    <sheet name="Затраты на сбыт" sheetId="5" r:id="rId6"/>
    <sheet name="Управление" sheetId="6" r:id="rId7"/>
    <sheet name="WCR" sheetId="8" r:id="rId8"/>
    <sheet name="ОФР" sheetId="9" r:id="rId9"/>
    <sheet name="СF" sheetId="10" r:id="rId10"/>
  </sheets>
  <calcPr calcId="124519" iterate="1" calcOnSave="0"/>
</workbook>
</file>

<file path=xl/calcChain.xml><?xml version="1.0" encoding="utf-8"?>
<calcChain xmlns="http://schemas.openxmlformats.org/spreadsheetml/2006/main">
  <c r="K76" i="10"/>
  <c r="K59"/>
  <c r="H12" i="8"/>
  <c r="G12"/>
  <c r="F12"/>
  <c r="E12"/>
  <c r="J29"/>
  <c r="J30"/>
  <c r="J31"/>
  <c r="D12"/>
  <c r="H10"/>
  <c r="G10"/>
  <c r="F10"/>
  <c r="E10"/>
  <c r="D10"/>
  <c r="J32" l="1"/>
  <c r="I20" i="9" l="1"/>
  <c r="D80" i="10" l="1"/>
  <c r="C80"/>
  <c r="C78"/>
  <c r="K79"/>
  <c r="K78" s="1"/>
  <c r="K40"/>
  <c r="K68"/>
  <c r="K51"/>
  <c r="D40" l="1"/>
  <c r="C40"/>
  <c r="F32"/>
  <c r="K82"/>
  <c r="K80" s="1"/>
  <c r="G60"/>
  <c r="H60"/>
  <c r="I60"/>
  <c r="J60"/>
  <c r="K60"/>
  <c r="K67"/>
  <c r="G62"/>
  <c r="H62"/>
  <c r="I62"/>
  <c r="J62"/>
  <c r="K62"/>
  <c r="F62"/>
  <c r="F60"/>
  <c r="D64"/>
  <c r="E64" s="1"/>
  <c r="D22"/>
  <c r="E22"/>
  <c r="F22"/>
  <c r="G22"/>
  <c r="H22"/>
  <c r="I22"/>
  <c r="J22"/>
  <c r="K22"/>
  <c r="C22"/>
  <c r="B22"/>
  <c r="E26" i="8"/>
  <c r="F41" s="1"/>
  <c r="E25"/>
  <c r="F39" s="1"/>
  <c r="E24"/>
  <c r="F37" s="1"/>
  <c r="K6" i="4"/>
  <c r="L6" s="1"/>
  <c r="M6" s="1"/>
  <c r="D42" i="10" l="1"/>
  <c r="D47"/>
  <c r="C42"/>
  <c r="C45"/>
  <c r="C51" s="1"/>
  <c r="M4" i="4"/>
  <c r="N6"/>
  <c r="N4" s="1"/>
  <c r="K15" i="8"/>
  <c r="L4" i="4"/>
  <c r="G28" i="8" s="1"/>
  <c r="K4" i="4"/>
  <c r="F28" i="8" s="1"/>
  <c r="D8" i="9"/>
  <c r="E8" s="1"/>
  <c r="F8" s="1"/>
  <c r="G8" s="1"/>
  <c r="H8" s="1"/>
  <c r="I8" s="1"/>
  <c r="I10"/>
  <c r="I15"/>
  <c r="K34" i="10" s="1"/>
  <c r="H15" i="9"/>
  <c r="J34" i="10" s="1"/>
  <c r="G15" i="9"/>
  <c r="I34" i="10" s="1"/>
  <c r="F15" i="9"/>
  <c r="H34" i="10" s="1"/>
  <c r="E15" i="9"/>
  <c r="G34" i="10" s="1"/>
  <c r="D15" i="9"/>
  <c r="F34" i="10" s="1"/>
  <c r="D9"/>
  <c r="D12" s="1"/>
  <c r="C9"/>
  <c r="C12" s="1"/>
  <c r="D14" i="8"/>
  <c r="J16" i="7"/>
  <c r="D18"/>
  <c r="D17"/>
  <c r="F17" s="1"/>
  <c r="D16"/>
  <c r="J4" i="4"/>
  <c r="E28" i="8" s="1"/>
  <c r="H6" i="10" l="1"/>
  <c r="E29" i="8"/>
  <c r="E31"/>
  <c r="E30"/>
  <c r="F30"/>
  <c r="F29"/>
  <c r="F31"/>
  <c r="D31"/>
  <c r="E82" i="10" s="1"/>
  <c r="E80" s="1"/>
  <c r="D30" i="8"/>
  <c r="D29"/>
  <c r="E67" i="10" s="1"/>
  <c r="O6" i="4"/>
  <c r="O4" s="1"/>
  <c r="I5" i="9" s="1"/>
  <c r="J15" i="8" s="1"/>
  <c r="K16" s="1"/>
  <c r="K10" i="10" s="1"/>
  <c r="K11" s="1"/>
  <c r="D51"/>
  <c r="D53" s="1"/>
  <c r="D49"/>
  <c r="C53"/>
  <c r="C54" s="1"/>
  <c r="F6"/>
  <c r="J6"/>
  <c r="D9" i="9"/>
  <c r="F61" i="10" s="1"/>
  <c r="G61" s="1"/>
  <c r="E9" i="9"/>
  <c r="F9"/>
  <c r="G9"/>
  <c r="I9"/>
  <c r="K8" i="10" s="1"/>
  <c r="H9" i="9"/>
  <c r="E68" i="10"/>
  <c r="D19" i="7"/>
  <c r="H10"/>
  <c r="H17"/>
  <c r="F59" i="10"/>
  <c r="H59"/>
  <c r="J59"/>
  <c r="D59"/>
  <c r="D58" s="1"/>
  <c r="C59"/>
  <c r="C58" s="1"/>
  <c r="G59"/>
  <c r="I59"/>
  <c r="E59"/>
  <c r="E58" s="1"/>
  <c r="F18" i="7"/>
  <c r="J18" s="1"/>
  <c r="D5" i="9"/>
  <c r="D15" i="8" s="1"/>
  <c r="G82" i="10"/>
  <c r="G80" s="1"/>
  <c r="G68"/>
  <c r="G67"/>
  <c r="G5" i="9"/>
  <c r="H28" i="8"/>
  <c r="F5" i="9"/>
  <c r="K6" i="10"/>
  <c r="G6"/>
  <c r="F67"/>
  <c r="F82"/>
  <c r="F80" s="1"/>
  <c r="F68"/>
  <c r="H5" i="9"/>
  <c r="I28" i="8"/>
  <c r="I6" i="10"/>
  <c r="E5" i="9"/>
  <c r="J17" i="7" l="1"/>
  <c r="I21" i="9"/>
  <c r="J28" i="8"/>
  <c r="J68" i="10" s="1"/>
  <c r="H61"/>
  <c r="I61" s="1"/>
  <c r="J61" s="1"/>
  <c r="K61" s="1"/>
  <c r="K58" s="1"/>
  <c r="I30" i="8"/>
  <c r="F32"/>
  <c r="E32"/>
  <c r="H29"/>
  <c r="H31"/>
  <c r="H30"/>
  <c r="G29"/>
  <c r="G31"/>
  <c r="G30"/>
  <c r="E9" i="10"/>
  <c r="E12" s="1"/>
  <c r="E40"/>
  <c r="E42" s="1"/>
  <c r="C69"/>
  <c r="C66" s="1"/>
  <c r="C71" s="1"/>
  <c r="D52"/>
  <c r="D54" s="1"/>
  <c r="D79"/>
  <c r="D78" s="1"/>
  <c r="E50"/>
  <c r="F29"/>
  <c r="D32" i="8"/>
  <c r="J19" i="7"/>
  <c r="I16" i="9" s="1"/>
  <c r="G29" i="10"/>
  <c r="F25"/>
  <c r="D7" i="9"/>
  <c r="C75" i="10"/>
  <c r="F26"/>
  <c r="K25"/>
  <c r="I7" i="9"/>
  <c r="I6" s="1"/>
  <c r="K28" i="10" s="1"/>
  <c r="H15" i="8"/>
  <c r="I25" i="10"/>
  <c r="G7" i="9"/>
  <c r="J25" i="10"/>
  <c r="I15" i="8"/>
  <c r="H7" i="9"/>
  <c r="H67" i="10"/>
  <c r="H82"/>
  <c r="H68"/>
  <c r="H29" s="1"/>
  <c r="G26"/>
  <c r="G25"/>
  <c r="F15" i="8"/>
  <c r="E7" i="9"/>
  <c r="I82" i="10"/>
  <c r="I80" s="1"/>
  <c r="I68"/>
  <c r="I67"/>
  <c r="H25"/>
  <c r="G15" i="8"/>
  <c r="F7" i="9"/>
  <c r="J82" i="10"/>
  <c r="J80" s="1"/>
  <c r="J67"/>
  <c r="F30"/>
  <c r="G30"/>
  <c r="H32" i="8" l="1"/>
  <c r="I29"/>
  <c r="I32" s="1"/>
  <c r="I31"/>
  <c r="G32"/>
  <c r="E47" i="10"/>
  <c r="E49" s="1"/>
  <c r="E70"/>
  <c r="D69"/>
  <c r="D66" s="1"/>
  <c r="D71" s="1"/>
  <c r="E52"/>
  <c r="J29"/>
  <c r="K29"/>
  <c r="H30"/>
  <c r="H80"/>
  <c r="F24"/>
  <c r="F16" i="8"/>
  <c r="F10" i="10" s="1"/>
  <c r="D75"/>
  <c r="C74"/>
  <c r="C83"/>
  <c r="C84"/>
  <c r="J16" i="8"/>
  <c r="J10" i="10" s="1"/>
  <c r="I26"/>
  <c r="I24" s="1"/>
  <c r="H26"/>
  <c r="H24" s="1"/>
  <c r="J26"/>
  <c r="J24" s="1"/>
  <c r="K26"/>
  <c r="K24" s="1"/>
  <c r="G16" i="8"/>
  <c r="G10" i="10" s="1"/>
  <c r="H16" i="8"/>
  <c r="H10" i="10" s="1"/>
  <c r="J30"/>
  <c r="K30"/>
  <c r="I16" i="8"/>
  <c r="I10" i="10" s="1"/>
  <c r="I30"/>
  <c r="I29"/>
  <c r="G24"/>
  <c r="I11" i="9"/>
  <c r="I14" s="1"/>
  <c r="I48" i="10" l="1"/>
  <c r="J48"/>
  <c r="H48"/>
  <c r="G48"/>
  <c r="E51"/>
  <c r="E53" s="1"/>
  <c r="E54" s="1"/>
  <c r="D84"/>
  <c r="D83"/>
  <c r="F48"/>
  <c r="F49" s="1"/>
  <c r="F50"/>
  <c r="D20" i="9" s="1"/>
  <c r="E79" i="10"/>
  <c r="E78" s="1"/>
  <c r="E75"/>
  <c r="D74"/>
  <c r="K27"/>
  <c r="K5"/>
  <c r="I17" i="9"/>
  <c r="I18" s="1"/>
  <c r="I22" s="1"/>
  <c r="F51" i="10" l="1"/>
  <c r="F52"/>
  <c r="E69"/>
  <c r="E66" s="1"/>
  <c r="E71" s="1"/>
  <c r="G49"/>
  <c r="F79"/>
  <c r="F78" s="1"/>
  <c r="G50"/>
  <c r="I19" i="9"/>
  <c r="H10" s="1"/>
  <c r="F75" i="10"/>
  <c r="G75" s="1"/>
  <c r="H75" s="1"/>
  <c r="I75" s="1"/>
  <c r="J75" s="1"/>
  <c r="K75" s="1"/>
  <c r="E74"/>
  <c r="K37"/>
  <c r="K36" s="1"/>
  <c r="K7"/>
  <c r="K12" s="1"/>
  <c r="E83" l="1"/>
  <c r="E84"/>
  <c r="G79"/>
  <c r="G78" s="1"/>
  <c r="H50"/>
  <c r="H49"/>
  <c r="E20" i="9"/>
  <c r="G51" i="10"/>
  <c r="K42"/>
  <c r="L42" s="1"/>
  <c r="J8"/>
  <c r="H6" i="9"/>
  <c r="F20" l="1"/>
  <c r="H51" i="10"/>
  <c r="I49"/>
  <c r="H79"/>
  <c r="H78" s="1"/>
  <c r="I50"/>
  <c r="K53"/>
  <c r="J28"/>
  <c r="J27" s="1"/>
  <c r="H11" i="9"/>
  <c r="H14" s="1"/>
  <c r="G20" l="1"/>
  <c r="I51" i="10"/>
  <c r="J49"/>
  <c r="J79" s="1"/>
  <c r="J78" s="1"/>
  <c r="I79"/>
  <c r="I78" s="1"/>
  <c r="J50"/>
  <c r="H17" i="9"/>
  <c r="H18" s="1"/>
  <c r="J5" i="10"/>
  <c r="H20" i="9" l="1"/>
  <c r="H22" s="1"/>
  <c r="J51" i="10"/>
  <c r="H19" i="9"/>
  <c r="G10" s="1"/>
  <c r="J37" i="10"/>
  <c r="J36" s="1"/>
  <c r="J42" s="1"/>
  <c r="J7"/>
  <c r="J12" s="1"/>
  <c r="J53" l="1"/>
  <c r="I8"/>
  <c r="G6" i="9"/>
  <c r="G11" l="1"/>
  <c r="G14" s="1"/>
  <c r="I28" i="10"/>
  <c r="I27" s="1"/>
  <c r="G17" i="9" l="1"/>
  <c r="G18" s="1"/>
  <c r="G22" s="1"/>
  <c r="I5" i="10"/>
  <c r="G19" i="9" l="1"/>
  <c r="F10" s="1"/>
  <c r="I7" i="10"/>
  <c r="I12" s="1"/>
  <c r="I37"/>
  <c r="I36" s="1"/>
  <c r="I42" s="1"/>
  <c r="I53" s="1"/>
  <c r="F6" i="9" l="1"/>
  <c r="H8" i="10"/>
  <c r="F11" i="9" l="1"/>
  <c r="F14" s="1"/>
  <c r="H28" i="10"/>
  <c r="H27" s="1"/>
  <c r="F17" i="9" l="1"/>
  <c r="F18" s="1"/>
  <c r="F19" s="1"/>
  <c r="H5" i="10"/>
  <c r="F22" i="9" l="1"/>
  <c r="H7" i="10"/>
  <c r="H12" s="1"/>
  <c r="H37"/>
  <c r="H36" s="1"/>
  <c r="H42" s="1"/>
  <c r="H53" s="1"/>
  <c r="E10" i="9"/>
  <c r="E6" l="1"/>
  <c r="G8" i="10"/>
  <c r="G28" l="1"/>
  <c r="G27" s="1"/>
  <c r="E11" i="9"/>
  <c r="E14" s="1"/>
  <c r="G5" i="10" l="1"/>
  <c r="E17" i="9"/>
  <c r="E18" s="1"/>
  <c r="E19" s="1"/>
  <c r="E23" s="1"/>
  <c r="E22" l="1"/>
  <c r="G7" i="10"/>
  <c r="G12" s="1"/>
  <c r="G37"/>
  <c r="G36" s="1"/>
  <c r="G42" s="1"/>
  <c r="G53" s="1"/>
  <c r="D10" i="9"/>
  <c r="F63" i="10" s="1"/>
  <c r="G63" l="1"/>
  <c r="F58"/>
  <c r="F8"/>
  <c r="F65" s="1"/>
  <c r="D6" i="9"/>
  <c r="G58" i="10" l="1"/>
  <c r="H63"/>
  <c r="G65"/>
  <c r="F28"/>
  <c r="F27" s="1"/>
  <c r="D11" i="9"/>
  <c r="D14" s="1"/>
  <c r="I63" i="10" l="1"/>
  <c r="H58"/>
  <c r="H65"/>
  <c r="F5"/>
  <c r="D17" i="9"/>
  <c r="D18" s="1"/>
  <c r="D19" s="1"/>
  <c r="J63" i="10" l="1"/>
  <c r="J58" s="1"/>
  <c r="I58"/>
  <c r="D22" i="9"/>
  <c r="F77" i="10" s="1"/>
  <c r="G77" s="1"/>
  <c r="H77" s="1"/>
  <c r="I77" s="1"/>
  <c r="J77" s="1"/>
  <c r="K77" s="1"/>
  <c r="I65"/>
  <c r="F7"/>
  <c r="F12" s="1"/>
  <c r="F37"/>
  <c r="F36" s="1"/>
  <c r="F42" s="1"/>
  <c r="F53" s="1"/>
  <c r="F54" s="1"/>
  <c r="G52" l="1"/>
  <c r="G54" s="1"/>
  <c r="F69"/>
  <c r="F66" s="1"/>
  <c r="F74"/>
  <c r="F85" s="1"/>
  <c r="J65"/>
  <c r="H52" l="1"/>
  <c r="H54" s="1"/>
  <c r="G69"/>
  <c r="G66" s="1"/>
  <c r="G71" s="1"/>
  <c r="G74"/>
  <c r="K65"/>
  <c r="F71"/>
  <c r="I52" l="1"/>
  <c r="I54" s="1"/>
  <c r="H69"/>
  <c r="H66" s="1"/>
  <c r="H71" s="1"/>
  <c r="G84"/>
  <c r="G83"/>
  <c r="G86"/>
  <c r="G85"/>
  <c r="H74"/>
  <c r="F83"/>
  <c r="F84"/>
  <c r="F86"/>
  <c r="I74"/>
  <c r="J52" l="1"/>
  <c r="J54" s="1"/>
  <c r="I69"/>
  <c r="I66" s="1"/>
  <c r="I71" s="1"/>
  <c r="H84"/>
  <c r="H83"/>
  <c r="H86"/>
  <c r="H85"/>
  <c r="I85"/>
  <c r="K52" l="1"/>
  <c r="K54" s="1"/>
  <c r="K69" s="1"/>
  <c r="K66" s="1"/>
  <c r="K71" s="1"/>
  <c r="K83" s="1"/>
  <c r="J69"/>
  <c r="J66" s="1"/>
  <c r="J71" s="1"/>
  <c r="I86"/>
  <c r="I84"/>
  <c r="I83"/>
  <c r="J74"/>
  <c r="K74"/>
  <c r="K88" s="1"/>
  <c r="K86" l="1"/>
  <c r="K84"/>
  <c r="J86"/>
  <c r="J84"/>
  <c r="J83"/>
  <c r="J85"/>
  <c r="K85"/>
</calcChain>
</file>

<file path=xl/comments1.xml><?xml version="1.0" encoding="utf-8"?>
<comments xmlns="http://schemas.openxmlformats.org/spreadsheetml/2006/main">
  <authors>
    <author>Ирина</author>
  </authors>
  <commentList>
    <comment ref="K59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переоценк земли, указано в "Инвестиции"</t>
        </r>
      </text>
    </comment>
  </commentList>
</comments>
</file>

<file path=xl/sharedStrings.xml><?xml version="1.0" encoding="utf-8"?>
<sst xmlns="http://schemas.openxmlformats.org/spreadsheetml/2006/main" count="299" uniqueCount="217">
  <si>
    <t xml:space="preserve">Финансовое обоснование инвестиционной стратегии               </t>
  </si>
  <si>
    <t>Общая информация</t>
  </si>
  <si>
    <t>Дата начала проекта</t>
  </si>
  <si>
    <t>Периодичность расчета</t>
  </si>
  <si>
    <t>Дата</t>
  </si>
  <si>
    <t>Месяцы/кварталы/годы</t>
  </si>
  <si>
    <t>Дата завершения проекта</t>
  </si>
  <si>
    <t>Макроэкономические показатели</t>
  </si>
  <si>
    <t>Курс рубля по отношению к доллару</t>
  </si>
  <si>
    <t>%</t>
  </si>
  <si>
    <t>рубли</t>
  </si>
  <si>
    <t>Темп роста ВВП</t>
  </si>
  <si>
    <t>Темп роста цен на товары / услуги</t>
  </si>
  <si>
    <t xml:space="preserve">Темп роста стоимости сырья и материалов </t>
  </si>
  <si>
    <t>Себестоимость</t>
  </si>
  <si>
    <t>Продукт / Услуга 1</t>
  </si>
  <si>
    <t xml:space="preserve">Переменные затраты </t>
  </si>
  <si>
    <t>сырье и материалы</t>
  </si>
  <si>
    <t>Выручка</t>
  </si>
  <si>
    <t>Количество</t>
  </si>
  <si>
    <t>Цена</t>
  </si>
  <si>
    <t>Фактические данные</t>
  </si>
  <si>
    <t>Прогнозные данные</t>
  </si>
  <si>
    <t>единицы</t>
  </si>
  <si>
    <t>электроэнергия</t>
  </si>
  <si>
    <t xml:space="preserve">прочие </t>
  </si>
  <si>
    <t>Продукт 1 / Услуга 1</t>
  </si>
  <si>
    <t>Постоянные производственные затраты</t>
  </si>
  <si>
    <t>Вспомогательные материалы</t>
  </si>
  <si>
    <t>Коммунальные платежи</t>
  </si>
  <si>
    <t>Аренда</t>
  </si>
  <si>
    <t>на единицу</t>
  </si>
  <si>
    <t>за период</t>
  </si>
  <si>
    <t>Переменные затраты</t>
  </si>
  <si>
    <t xml:space="preserve">на единицу </t>
  </si>
  <si>
    <t>Постоянные коммерческие затраты</t>
  </si>
  <si>
    <t>Маркетинговые исследования</t>
  </si>
  <si>
    <t>Реклама</t>
  </si>
  <si>
    <t>Продвижение</t>
  </si>
  <si>
    <t>Прочие затраты</t>
  </si>
  <si>
    <t>Амортизация</t>
  </si>
  <si>
    <t>Страховка</t>
  </si>
  <si>
    <t>Заработная управленческого персонала</t>
  </si>
  <si>
    <t>Канцелярские расходы</t>
  </si>
  <si>
    <t>Услуги связи</t>
  </si>
  <si>
    <t>Командировочные расходы</t>
  </si>
  <si>
    <t>Налоги</t>
  </si>
  <si>
    <t>Прочие расходы</t>
  </si>
  <si>
    <t>Управленческие затраты</t>
  </si>
  <si>
    <t>Заработная плата коммерческого директора, в т.ч взносы</t>
  </si>
  <si>
    <t>Заработная плата менеджеров, в т.ч. взносы</t>
  </si>
  <si>
    <t>Бонусы (з/п, в т.ч. взносы)</t>
  </si>
  <si>
    <t>труд, в т.ч. Взносы</t>
  </si>
  <si>
    <t>Вспомогательные производственные рабочие, в т.ч. взносы</t>
  </si>
  <si>
    <t>Управленческие производственные затраты, в т.ч. взносы</t>
  </si>
  <si>
    <t>Капитальные вложения</t>
  </si>
  <si>
    <t>Пуско-наладочные работы</t>
  </si>
  <si>
    <t>Строительство, 2 очередь</t>
  </si>
  <si>
    <t>Итого</t>
  </si>
  <si>
    <t>Вариант 1.</t>
  </si>
  <si>
    <t>Статистика прошлых периодов</t>
  </si>
  <si>
    <t>Выручка от реализации</t>
  </si>
  <si>
    <t>Запасы</t>
  </si>
  <si>
    <t xml:space="preserve">Дебиторская задолженность </t>
  </si>
  <si>
    <t>Кредиторская заолженность</t>
  </si>
  <si>
    <t>коэффициент</t>
  </si>
  <si>
    <t>Вариант 2.</t>
  </si>
  <si>
    <t>Коэффициенты оборачиваемости</t>
  </si>
  <si>
    <t>дни</t>
  </si>
  <si>
    <t>Dдз</t>
  </si>
  <si>
    <t>Dкз</t>
  </si>
  <si>
    <t>Dз</t>
  </si>
  <si>
    <t>Средняя величина дебиторской задолженности (Выручка /360 * Dдз)</t>
  </si>
  <si>
    <t>Отчет о финансовых результатах компании</t>
  </si>
  <si>
    <r>
      <t>Выручка от реализации</t>
    </r>
    <r>
      <rPr>
        <sz val="12"/>
        <color rgb="FF000000"/>
        <rFont val="Times New Roman"/>
        <family val="1"/>
        <charset val="204"/>
      </rPr>
      <t xml:space="preserve"> </t>
    </r>
  </si>
  <si>
    <t>Постоянные затраты</t>
  </si>
  <si>
    <t>Валовая прибыль</t>
  </si>
  <si>
    <t>Коммерческие расходы (затраты на сбыт)</t>
  </si>
  <si>
    <t>Управленческие расходы</t>
  </si>
  <si>
    <t>Налог на прибыль</t>
  </si>
  <si>
    <t>Прибыль от основной деятельности после налогообложения (NOPAT)</t>
  </si>
  <si>
    <t>Прибыль от основной детяельности (EBIT)</t>
  </si>
  <si>
    <t>Прибыль от основной деятельности (EBIT)</t>
  </si>
  <si>
    <t>+ Амортизация</t>
  </si>
  <si>
    <t>- Первоначальные капитальные вложения</t>
  </si>
  <si>
    <t xml:space="preserve"> - Прирост чистого оборотного капитала</t>
  </si>
  <si>
    <t>Свободный денежный поток компании (FCFF)</t>
  </si>
  <si>
    <t xml:space="preserve"> - Налог на прибыль</t>
  </si>
  <si>
    <t>Множитель дисконтирования</t>
  </si>
  <si>
    <t>Дисконтированный денежный поток</t>
  </si>
  <si>
    <t>Дисконтированный денежный поток нарастающим итогом</t>
  </si>
  <si>
    <t>Приобретение земли</t>
  </si>
  <si>
    <t>Строительство здания, 1 очередь</t>
  </si>
  <si>
    <t>WACC фирмы равняется 11,5%. В соответствии с принятой учетной политикой при формировании бюджета капиталовложений денежные потоки регистрируются в конце каждого года. Поскольку завод будет введен в действие 1 января 2022 года, первые операционные денежные потоки будут иметь место 31 декабря 2022.</t>
  </si>
  <si>
    <t xml:space="preserve">Отдел НИОКР компании разработал технологию производства специализированного компьютера для управления нефтеперекачивающей станцией. Вице-президент по развитию считает, что ежегодный объем реализации с учетом экспорта составит, вероятно, 25 000 компьютеров при цене 2200 д.е. за единицу. Фирме потребуется новый завод, который можно построить и подготовить к производству в течение 2-ух лет с момента принятия решения о начале реализации проекта. Для завода потребуется участок площадью 25 акров (10 га), и в настоящее время (2019-ой год) у компании существует возможность приобрести такой участок за 1,2 млн. д.е. Строительство здания можно начать со следующего года (2020-ый год) и продолжить в 2021-ом году. Стоимость здания, нормативный срок которого составляет 20 лет, оценивается в 8 млн. д.е.; платеж подрядчику в размеру 4 млн. д.е. будет произведен  31 декабря 2020, а оставшиеся 4 млн. д.е. будут уплачены 31 декабря 2021.
Необходимое  оборудование будет установлено в конце 2021 г. и оплачено 31 декабря 2021 г. Оборудование, нормативный срок службы которого составляет  5 лет, будет стоить 9,5 млн. д.е. плюс 500.000 д.е. за установку.
Проект, кроме того, потребует начальных инвестиций в NWC (Net Working Capital – чистый оборотный капитал)  в размере 12% оценочного объема реализации в первом году. Исходные инвестиции в оборотный капитал будут произведены 31 декабря 2021 г., а 31 декабря каждого следующего года NWC будет увеличиваться на сумму, равную 12% прироста объема реализации, ожидаемого в следующем году. Оценочный срок действия равен 6 годам. Ожидается, что через 6 лет земля будет иметь рыночную цену 1,7 млн. д.е., здание-  1 млн. д.е., а оборудование – 2 млн. д.е. По оценке производственного отдела переменные затраты составят 65% объема реализации в стоимостном выражении, а постоянные накладные расходы данного проекта, за исключением амортизации, будут 5 млн. д.е. в первый год работы. Предполагается, что цены реализации и постоянные накладные расходы, без учета амортизационных отчислений, повысятся в результате инфляции, которая, как ожидается, составит в среднем 6 % в год в течение всего срока действия проекта. В соответствии с методикой управленческого учета данной компании накладные затраты распределяются равномерно между всеми проектами. Затраты компании до начала данного проекта составляли 0,2 млн. д.е., начиная с 1 января 2022 года накладные затраты возрастут на 0,05 млн. д.е. Прогнозируется рост накладных расходов с темпом 6% в год.
WACC фирмы равняется 11,5%. В соответствии с принятой учетной политикой при формировании бюджета капиталовложений денежные потоки регистрируются  конце каждого года. Поскольку завод будет введен в действие 1 января 2022 года, первые операционные денежные потоки будут иметь место 31 декабря 2022.
</t>
  </si>
  <si>
    <t>Оборудование, включая доставку</t>
  </si>
  <si>
    <t>Первоначальные инвестиции в оборотный капитал</t>
  </si>
  <si>
    <t>Сумма в $</t>
  </si>
  <si>
    <t>Вид актива (внеоборотный / оборотный)</t>
  </si>
  <si>
    <t>Амортизируется ли данный актив?</t>
  </si>
  <si>
    <t>Да</t>
  </si>
  <si>
    <t>нет</t>
  </si>
  <si>
    <t xml:space="preserve">Отдел НИОКР компании разработал технологию производства специализированного компьютера для управления нефтеперекачивающей станцией. Вице-президент по развитию считает, что ежегодный объем реализации с учетом экспорта составит, вероятно, 25 000 компьютеров при цене 2200 д.е. за единицу. </t>
  </si>
  <si>
    <t>Внеоборотный</t>
  </si>
  <si>
    <t>Оборотный</t>
  </si>
  <si>
    <t>По оценке производственного отдела переменные затраты составят 65% объема реализации в стоимостном выражении, а постоянные накладные расходы данного проекта, за исключением амортизации, будут 5 млн. д.е. в первый год работы. Предполагается, что цены реализации и постоянные накладные расходы, без учета амортизационных отчислений, повысятся в результате инфляции, которая, как ожидается, составит в среднем 6 % в год в течение всего срока действия проекта. В соответствии с методикой управленческого учета данной компании накладные затраты распределяются равномерно между всеми проектами. Затраты компании до начала данного проекта составляли 0,2 млн. д.е., начиная с 1 января 2020 года накладные затраты возрастут на 0,05 млн. д.е. Прогнозируется рост накладных расходов с темпом 6% в год.</t>
  </si>
  <si>
    <t>от выручки от реализации</t>
  </si>
  <si>
    <t xml:space="preserve">инфляция </t>
  </si>
  <si>
    <t>без учета амортизации</t>
  </si>
  <si>
    <t>Лист "Выручка"</t>
  </si>
  <si>
    <t>Лист "Производство"</t>
  </si>
  <si>
    <t>6% ежегодно указано на листе "Информация"</t>
  </si>
  <si>
    <t>Ликвидационная стоимость</t>
  </si>
  <si>
    <t>Монтаж оборудования (будет включено в первоначальную стоимость)</t>
  </si>
  <si>
    <t>Лист "Затраты на сбыт"</t>
  </si>
  <si>
    <t>Лист "Управление"</t>
  </si>
  <si>
    <t>Налог на прибыль (20%)</t>
  </si>
  <si>
    <t>Срок полезного использования</t>
  </si>
  <si>
    <t>Полная стоимость активов и срок амортизации</t>
  </si>
  <si>
    <t>Налог на землю (1,5%)</t>
  </si>
  <si>
    <t>Налог на землю</t>
  </si>
  <si>
    <t>Здание</t>
  </si>
  <si>
    <t>Оборудование</t>
  </si>
  <si>
    <t>стоимость</t>
  </si>
  <si>
    <t>Остаточная стоимость на момент завершения проекта</t>
  </si>
  <si>
    <t>$</t>
  </si>
  <si>
    <t>Земля*</t>
  </si>
  <si>
    <t>*) будет произведена переоценка в соотвествии с рыночными ценами на момент завершения проекта</t>
  </si>
  <si>
    <t>Сумма ежегодной амортизации</t>
  </si>
  <si>
    <t>Длительность эксплуатационной стадии</t>
  </si>
  <si>
    <t>количество периодов</t>
  </si>
  <si>
    <t>годы</t>
  </si>
  <si>
    <t>Прибыль, подлежащая налогообложению</t>
  </si>
  <si>
    <t>Прочие доходы</t>
  </si>
  <si>
    <t>Прирост чистого оборотного капитала</t>
  </si>
  <si>
    <t>старт производства</t>
  </si>
  <si>
    <t>Налогооблагаемая прибыль</t>
  </si>
  <si>
    <t>Амортизация здания</t>
  </si>
  <si>
    <t>Амортизация оборудования</t>
  </si>
  <si>
    <t xml:space="preserve"> - Налог на землю</t>
  </si>
  <si>
    <t>Инфляция сырья и материалов</t>
  </si>
  <si>
    <t>Инфляция</t>
  </si>
  <si>
    <t>Косвеннй метод</t>
  </si>
  <si>
    <t>Обрачиваемость в днях</t>
  </si>
  <si>
    <t>Обрачиваемость в разах</t>
  </si>
  <si>
    <t>Количество дней в году</t>
  </si>
  <si>
    <t>Период инкассации дебиторской задолженности (в течение какого периода платят клиенты) Dдз</t>
  </si>
  <si>
    <t>Период отсрочки платежей, полученный от поставщиков Dкз</t>
  </si>
  <si>
    <t>WCR = Запасы + Дебиторская задолженность - Кредиторская задолженность</t>
  </si>
  <si>
    <t>WCR / Выручка</t>
  </si>
  <si>
    <t>Среднее арифметическое WCR / Выручка</t>
  </si>
  <si>
    <t>Потребность в чистом оборотном капитале (WCR)</t>
  </si>
  <si>
    <t xml:space="preserve">Проект, кроме того, потребует начальных инвестиций в WCR (Working Capital Requirements или NWC - Net Working Capital – чистый оборотный капитал)  в размере 12% оценочного объема реализации в первом году. </t>
  </si>
  <si>
    <t>Чистый оборотный капитал (WCR)</t>
  </si>
  <si>
    <t>Соотношение каждого элемента чистого оборотного капитала и выручки</t>
  </si>
  <si>
    <t xml:space="preserve">Дебиторская задолженность / Выручка </t>
  </si>
  <si>
    <t>Запасы / Выручка</t>
  </si>
  <si>
    <t>Кредиторская задолженность / Выручка</t>
  </si>
  <si>
    <t>Округляем  данные из столбца "F"</t>
  </si>
  <si>
    <t>Прямой метод</t>
  </si>
  <si>
    <t>Поступление выручки от реализации</t>
  </si>
  <si>
    <t xml:space="preserve">Выручка </t>
  </si>
  <si>
    <t xml:space="preserve"> - изменение дебиторской задолженности</t>
  </si>
  <si>
    <t>Коммерческие и управленческие расходы без амортизации</t>
  </si>
  <si>
    <t>(считаем, что момент выплаты совпадает с моментом начисления для коммерческих и управленческих расходов)</t>
  </si>
  <si>
    <t>Выплата налога на прибыль</t>
  </si>
  <si>
    <t>Кредиторская задолженность по налогам</t>
  </si>
  <si>
    <t>Баланс</t>
  </si>
  <si>
    <t>Внеоборотные активы</t>
  </si>
  <si>
    <t>Земля</t>
  </si>
  <si>
    <t>Оборотные активы</t>
  </si>
  <si>
    <t>Денежные средства</t>
  </si>
  <si>
    <t>Активы</t>
  </si>
  <si>
    <t>Пассивы</t>
  </si>
  <si>
    <t>Собственный капитал</t>
  </si>
  <si>
    <t>Уставный капитал</t>
  </si>
  <si>
    <t>Нераспределенная прибыль</t>
  </si>
  <si>
    <t>Долгосрочные заемные средства</t>
  </si>
  <si>
    <t>Кредиты</t>
  </si>
  <si>
    <t>Краткосрочные заемные средства</t>
  </si>
  <si>
    <t>Итого актвы</t>
  </si>
  <si>
    <t>Итого пассивы</t>
  </si>
  <si>
    <t>Инвестиции в основные средства</t>
  </si>
  <si>
    <t xml:space="preserve">Выплата налога на землю </t>
  </si>
  <si>
    <t xml:space="preserve"> - Оттоки по производственным затратам</t>
  </si>
  <si>
    <t xml:space="preserve"> - Себестоимость (без амортизации)</t>
  </si>
  <si>
    <t xml:space="preserve">  - Изменение запасов</t>
  </si>
  <si>
    <t xml:space="preserve"> + Изменение кредиторской задолженности по заработной плате, выплатам поставщикам, подрядчикам</t>
  </si>
  <si>
    <t>Кредиторская задолженность</t>
  </si>
  <si>
    <t>Оценка инвестиций в чистый оборотный капитал ( WCR)</t>
  </si>
  <si>
    <t>Оборачиваемость активов</t>
  </si>
  <si>
    <t>Рентабльность собственного капитала</t>
  </si>
  <si>
    <t>Рентабельность активов</t>
  </si>
  <si>
    <t>Чистая прибыль</t>
  </si>
  <si>
    <t>Проценты</t>
  </si>
  <si>
    <t>Денежный поток по финансовой деятельности</t>
  </si>
  <si>
    <t>Получение кредита</t>
  </si>
  <si>
    <t>Выплата кредита</t>
  </si>
  <si>
    <t>Выплата процентов (10%)</t>
  </si>
  <si>
    <t>остаток денежных средств</t>
  </si>
  <si>
    <t>Итого Денежный поток по финансовой деятельности</t>
  </si>
  <si>
    <t>Дивиденды (указываем с "-", т.к. в формуле суммируем</t>
  </si>
  <si>
    <t>Расходы будущих периодов</t>
  </si>
  <si>
    <t>денежные средства на начало периода</t>
  </si>
  <si>
    <t>денежные средства на конец периода</t>
  </si>
  <si>
    <t>Прочие доходы (продажа основных средств)</t>
  </si>
  <si>
    <t>остаток долга (вспомогательная строка)</t>
  </si>
  <si>
    <t>Выручка от реализаци</t>
  </si>
  <si>
    <t>Средняя величина запасов (Выручка/ 360 * Dз)</t>
  </si>
  <si>
    <t>Средняя величина кредиторской задолженности (Выручка / 360 * Dкз)</t>
  </si>
  <si>
    <t>Период, в течение которого сырье и материалы превращаются в готовую  и реализованную продукцию (технологический цикл)  Dз</t>
  </si>
  <si>
    <t>Остаточная стоимость оборудования на конец года</t>
  </si>
  <si>
    <t>Остаточная стоимость задния на конец года</t>
  </si>
  <si>
    <t>Переоценка земли</t>
  </si>
  <si>
    <t>Здание (вспомогательная строка)</t>
  </si>
  <si>
    <t>Оборудование (вспомогательная строка)</t>
  </si>
  <si>
    <t>Амортизация (вспомогательная строка)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</si>
</sst>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0.0"/>
  </numFmts>
  <fonts count="19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  <font>
      <sz val="11"/>
      <color theme="0" tint="-0.49998474074526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i/>
      <sz val="11"/>
      <color theme="8" tint="0.7999816888943144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 tint="0.499984740745262"/>
      <name val="Calibri"/>
      <family val="2"/>
      <charset val="204"/>
      <scheme val="minor"/>
    </font>
    <font>
      <i/>
      <sz val="11"/>
      <color theme="1" tint="0.499984740745262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13">
    <xf numFmtId="0" fontId="0" fillId="0" borderId="0" xfId="0"/>
    <xf numFmtId="0" fontId="3" fillId="2" borderId="0" xfId="0" applyFont="1" applyFill="1" applyAlignment="1">
      <alignment horizontal="center"/>
    </xf>
    <xf numFmtId="2" fontId="0" fillId="0" borderId="0" xfId="0" applyNumberFormat="1"/>
    <xf numFmtId="0" fontId="3" fillId="0" borderId="0" xfId="0" applyFont="1" applyAlignment="1">
      <alignment horizontal="left"/>
    </xf>
    <xf numFmtId="14" fontId="0" fillId="3" borderId="1" xfId="0" applyNumberFormat="1" applyFill="1" applyBorder="1"/>
    <xf numFmtId="0" fontId="0" fillId="3" borderId="1" xfId="0" applyFill="1" applyBorder="1"/>
    <xf numFmtId="2" fontId="0" fillId="3" borderId="1" xfId="0" applyNumberFormat="1" applyFill="1" applyBorder="1"/>
    <xf numFmtId="0" fontId="0" fillId="2" borderId="0" xfId="0" applyFill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/>
    <xf numFmtId="0" fontId="0" fillId="4" borderId="1" xfId="0" applyFill="1" applyBorder="1"/>
    <xf numFmtId="0" fontId="0" fillId="2" borderId="1" xfId="0" applyFill="1" applyBorder="1"/>
    <xf numFmtId="0" fontId="3" fillId="2" borderId="0" xfId="0" applyFont="1" applyFill="1"/>
    <xf numFmtId="0" fontId="3" fillId="0" borderId="0" xfId="0" applyFont="1" applyAlignment="1">
      <alignment wrapText="1"/>
    </xf>
    <xf numFmtId="0" fontId="3" fillId="4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horizontal="left" indent="3"/>
    </xf>
    <xf numFmtId="0" fontId="3" fillId="4" borderId="1" xfId="0" applyFont="1" applyFill="1" applyBorder="1"/>
    <xf numFmtId="0" fontId="3" fillId="5" borderId="0" xfId="0" applyFont="1" applyFill="1"/>
    <xf numFmtId="0" fontId="0" fillId="5" borderId="0" xfId="0" applyFill="1"/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6" borderId="1" xfId="0" applyFill="1" applyBorder="1"/>
    <xf numFmtId="164" fontId="0" fillId="4" borderId="1" xfId="1" applyNumberFormat="1" applyFont="1" applyFill="1" applyBorder="1"/>
    <xf numFmtId="164" fontId="0" fillId="4" borderId="1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9" fontId="3" fillId="0" borderId="0" xfId="0" applyNumberFormat="1" applyFont="1"/>
    <xf numFmtId="164" fontId="3" fillId="0" borderId="0" xfId="1" applyNumberFormat="1" applyFont="1"/>
    <xf numFmtId="164" fontId="3" fillId="4" borderId="1" xfId="1" applyNumberFormat="1" applyFont="1" applyFill="1" applyBorder="1"/>
    <xf numFmtId="9" fontId="0" fillId="3" borderId="1" xfId="2" applyFont="1" applyFill="1" applyBorder="1"/>
    <xf numFmtId="164" fontId="3" fillId="4" borderId="1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3" fillId="0" borderId="1" xfId="0" applyFont="1" applyBorder="1"/>
    <xf numFmtId="0" fontId="0" fillId="0" borderId="0" xfId="0" applyAlignment="1"/>
    <xf numFmtId="164" fontId="3" fillId="0" borderId="0" xfId="1" applyNumberFormat="1" applyFont="1" applyAlignment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164" fontId="0" fillId="0" borderId="0" xfId="0" applyNumberFormat="1"/>
    <xf numFmtId="0" fontId="3" fillId="0" borderId="1" xfId="0" applyFont="1" applyBorder="1" applyAlignment="1">
      <alignment horizontal="center" wrapText="1"/>
    </xf>
    <xf numFmtId="164" fontId="3" fillId="0" borderId="1" xfId="1" applyNumberFormat="1" applyFont="1" applyBorder="1"/>
    <xf numFmtId="0" fontId="3" fillId="0" borderId="3" xfId="0" applyFont="1" applyFill="1" applyBorder="1"/>
    <xf numFmtId="0" fontId="4" fillId="0" borderId="0" xfId="0" applyFont="1" applyFill="1" applyBorder="1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wrapText="1"/>
    </xf>
    <xf numFmtId="0" fontId="8" fillId="0" borderId="0" xfId="0" applyFont="1"/>
    <xf numFmtId="9" fontId="3" fillId="0" borderId="1" xfId="0" applyNumberFormat="1" applyFont="1" applyBorder="1" applyAlignment="1">
      <alignment horizontal="left"/>
    </xf>
    <xf numFmtId="10" fontId="3" fillId="0" borderId="1" xfId="0" applyNumberFormat="1" applyFont="1" applyBorder="1" applyAlignment="1">
      <alignment horizontal="left"/>
    </xf>
    <xf numFmtId="0" fontId="3" fillId="0" borderId="0" xfId="0" applyNumberFormat="1" applyFont="1"/>
    <xf numFmtId="2" fontId="3" fillId="0" borderId="0" xfId="0" applyNumberFormat="1" applyFont="1"/>
    <xf numFmtId="0" fontId="10" fillId="0" borderId="0" xfId="0" applyFont="1" applyAlignment="1">
      <alignment horizontal="center" wrapText="1"/>
    </xf>
    <xf numFmtId="0" fontId="0" fillId="4" borderId="4" xfId="0" applyFill="1" applyBorder="1"/>
    <xf numFmtId="164" fontId="0" fillId="4" borderId="4" xfId="1" applyNumberFormat="1" applyFont="1" applyFill="1" applyBorder="1"/>
    <xf numFmtId="0" fontId="0" fillId="5" borderId="5" xfId="0" applyFill="1" applyBorder="1"/>
    <xf numFmtId="0" fontId="3" fillId="0" borderId="0" xfId="0" applyFont="1" applyAlignment="1">
      <alignment horizontal="center" wrapText="1"/>
    </xf>
    <xf numFmtId="2" fontId="0" fillId="4" borderId="0" xfId="0" applyNumberFormat="1" applyFill="1"/>
    <xf numFmtId="165" fontId="0" fillId="4" borderId="1" xfId="0" applyNumberFormat="1" applyFill="1" applyBorder="1"/>
    <xf numFmtId="2" fontId="0" fillId="4" borderId="1" xfId="0" applyNumberFormat="1" applyFill="1" applyBorder="1"/>
    <xf numFmtId="43" fontId="0" fillId="4" borderId="1" xfId="0" applyNumberFormat="1" applyFill="1" applyBorder="1"/>
    <xf numFmtId="164" fontId="0" fillId="4" borderId="1" xfId="0" applyNumberFormat="1" applyFill="1" applyBorder="1"/>
    <xf numFmtId="0" fontId="3" fillId="0" borderId="0" xfId="0" applyFont="1" applyFill="1" applyBorder="1" applyAlignment="1"/>
    <xf numFmtId="164" fontId="0" fillId="0" borderId="0" xfId="1" applyNumberFormat="1" applyFont="1" applyAlignment="1">
      <alignment horizontal="left" indent="1"/>
    </xf>
    <xf numFmtId="164" fontId="3" fillId="0" borderId="0" xfId="0" applyNumberFormat="1" applyFont="1"/>
    <xf numFmtId="0" fontId="11" fillId="0" borderId="1" xfId="0" applyFont="1" applyBorder="1"/>
    <xf numFmtId="0" fontId="0" fillId="0" borderId="1" xfId="0" applyBorder="1"/>
    <xf numFmtId="164" fontId="0" fillId="0" borderId="1" xfId="1" applyNumberFormat="1" applyFont="1" applyBorder="1"/>
    <xf numFmtId="43" fontId="0" fillId="0" borderId="1" xfId="1" applyFont="1" applyBorder="1"/>
    <xf numFmtId="0" fontId="3" fillId="0" borderId="1" xfId="0" applyFont="1" applyBorder="1" applyAlignment="1">
      <alignment horizontal="left" indent="2"/>
    </xf>
    <xf numFmtId="164" fontId="0" fillId="0" borderId="1" xfId="1" applyNumberFormat="1" applyFont="1" applyBorder="1" applyAlignment="1">
      <alignment horizontal="left" indent="1"/>
    </xf>
    <xf numFmtId="0" fontId="11" fillId="0" borderId="1" xfId="0" applyFont="1" applyBorder="1" applyAlignment="1">
      <alignment horizontal="left"/>
    </xf>
    <xf numFmtId="164" fontId="0" fillId="0" borderId="1" xfId="0" applyNumberFormat="1" applyBorder="1"/>
    <xf numFmtId="0" fontId="3" fillId="0" borderId="1" xfId="0" applyFont="1" applyBorder="1" applyAlignment="1">
      <alignment horizontal="left" indent="3"/>
    </xf>
    <xf numFmtId="0" fontId="3" fillId="0" borderId="1" xfId="0" applyFont="1" applyBorder="1" applyAlignment="1">
      <alignment horizontal="left" wrapText="1" indent="2"/>
    </xf>
    <xf numFmtId="0" fontId="3" fillId="0" borderId="1" xfId="0" applyFont="1" applyBorder="1" applyAlignment="1">
      <alignment wrapText="1"/>
    </xf>
    <xf numFmtId="0" fontId="3" fillId="7" borderId="1" xfId="0" applyFont="1" applyFill="1" applyBorder="1" applyAlignment="1"/>
    <xf numFmtId="0" fontId="3" fillId="7" borderId="0" xfId="0" applyFont="1" applyFill="1"/>
    <xf numFmtId="0" fontId="0" fillId="8" borderId="0" xfId="0" applyFill="1"/>
    <xf numFmtId="9" fontId="0" fillId="0" borderId="0" xfId="0" applyNumberFormat="1"/>
    <xf numFmtId="164" fontId="12" fillId="0" borderId="0" xfId="0" applyNumberFormat="1" applyFont="1"/>
    <xf numFmtId="0" fontId="14" fillId="0" borderId="0" xfId="0" applyFont="1"/>
    <xf numFmtId="164" fontId="14" fillId="0" borderId="0" xfId="0" applyNumberFormat="1" applyFont="1"/>
    <xf numFmtId="164" fontId="3" fillId="4" borderId="0" xfId="0" applyNumberFormat="1" applyFont="1" applyFill="1" applyBorder="1"/>
    <xf numFmtId="0" fontId="13" fillId="9" borderId="0" xfId="0" applyFont="1" applyFill="1"/>
    <xf numFmtId="164" fontId="12" fillId="9" borderId="0" xfId="0" applyNumberFormat="1" applyFont="1" applyFill="1"/>
    <xf numFmtId="164" fontId="0" fillId="9" borderId="1" xfId="0" applyNumberFormat="1" applyFill="1" applyBorder="1"/>
    <xf numFmtId="164" fontId="0" fillId="6" borderId="1" xfId="0" applyNumberFormat="1" applyFill="1" applyBorder="1"/>
    <xf numFmtId="164" fontId="0" fillId="10" borderId="1" xfId="0" applyNumberFormat="1" applyFill="1" applyBorder="1"/>
    <xf numFmtId="43" fontId="0" fillId="10" borderId="1" xfId="0" applyNumberFormat="1" applyFill="1" applyBorder="1"/>
    <xf numFmtId="43" fontId="3" fillId="0" borderId="0" xfId="0" applyNumberFormat="1" applyFont="1"/>
    <xf numFmtId="0" fontId="0" fillId="9" borderId="0" xfId="0" applyFill="1"/>
    <xf numFmtId="164" fontId="0" fillId="9" borderId="1" xfId="1" applyNumberFormat="1" applyFont="1" applyFill="1" applyBorder="1" applyAlignment="1">
      <alignment horizontal="left" indent="1"/>
    </xf>
    <xf numFmtId="164" fontId="0" fillId="9" borderId="0" xfId="1" applyNumberFormat="1" applyFont="1" applyFill="1" applyAlignment="1">
      <alignment horizontal="left" indent="1"/>
    </xf>
    <xf numFmtId="0" fontId="17" fillId="9" borderId="0" xfId="0" applyFont="1" applyFill="1"/>
    <xf numFmtId="0" fontId="18" fillId="9" borderId="0" xfId="0" applyFont="1" applyFill="1" applyAlignment="1">
      <alignment horizontal="left" indent="2"/>
    </xf>
    <xf numFmtId="164" fontId="17" fillId="9" borderId="1" xfId="1" applyNumberFormat="1" applyFont="1" applyFill="1" applyBorder="1" applyAlignment="1">
      <alignment horizontal="left" inden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4" borderId="0" xfId="0" applyFont="1" applyFill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</xdr:colOff>
      <xdr:row>15</xdr:row>
      <xdr:rowOff>137160</xdr:rowOff>
    </xdr:from>
    <xdr:to>
      <xdr:col>10</xdr:col>
      <xdr:colOff>411480</xdr:colOff>
      <xdr:row>21</xdr:row>
      <xdr:rowOff>15240</xdr:rowOff>
    </xdr:to>
    <xdr:sp macro="" textlink="">
      <xdr:nvSpPr>
        <xdr:cNvPr id="2" name="TextBox 1"/>
        <xdr:cNvSpPr txBox="1"/>
      </xdr:nvSpPr>
      <xdr:spPr>
        <a:xfrm>
          <a:off x="3726180" y="2880360"/>
          <a:ext cx="2781300" cy="97536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 b="1">
              <a:solidFill>
                <a:schemeClr val="accent1"/>
              </a:solidFill>
              <a:latin typeface="Times New Roman" pitchFamily="18" charset="0"/>
              <a:cs typeface="Times New Roman" pitchFamily="18" charset="0"/>
            </a:rPr>
            <a:t>Разработчики: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7:K22"/>
  <sheetViews>
    <sheetView workbookViewId="0">
      <selection activeCell="N16" sqref="N16"/>
    </sheetView>
  </sheetViews>
  <sheetFormatPr defaultRowHeight="15"/>
  <sheetData>
    <row r="7" spans="3:11">
      <c r="C7" s="103" t="s">
        <v>0</v>
      </c>
      <c r="D7" s="104"/>
      <c r="E7" s="104"/>
      <c r="F7" s="104"/>
      <c r="G7" s="104"/>
      <c r="H7" s="104"/>
      <c r="I7" s="104"/>
      <c r="J7" s="104"/>
      <c r="K7" s="104"/>
    </row>
    <row r="8" spans="3:11">
      <c r="C8" s="104"/>
      <c r="D8" s="104"/>
      <c r="E8" s="104"/>
      <c r="F8" s="104"/>
      <c r="G8" s="104"/>
      <c r="H8" s="104"/>
      <c r="I8" s="104"/>
      <c r="J8" s="104"/>
      <c r="K8" s="104"/>
    </row>
    <row r="9" spans="3:11">
      <c r="C9" s="104"/>
      <c r="D9" s="104"/>
      <c r="E9" s="104"/>
      <c r="F9" s="104"/>
      <c r="G9" s="104"/>
      <c r="H9" s="104"/>
      <c r="I9" s="104"/>
      <c r="J9" s="104"/>
      <c r="K9" s="104"/>
    </row>
    <row r="10" spans="3:11">
      <c r="C10" s="104"/>
      <c r="D10" s="104"/>
      <c r="E10" s="104"/>
      <c r="F10" s="104"/>
      <c r="G10" s="104"/>
      <c r="H10" s="104"/>
      <c r="I10" s="104"/>
      <c r="J10" s="104"/>
      <c r="K10" s="104"/>
    </row>
    <row r="11" spans="3:11">
      <c r="C11" s="104"/>
      <c r="D11" s="104"/>
      <c r="E11" s="104"/>
      <c r="F11" s="104"/>
      <c r="G11" s="104"/>
      <c r="H11" s="104"/>
      <c r="I11" s="104"/>
      <c r="J11" s="104"/>
      <c r="K11" s="104"/>
    </row>
    <row r="12" spans="3:11">
      <c r="C12" s="104"/>
      <c r="D12" s="104"/>
      <c r="E12" s="104"/>
      <c r="F12" s="104"/>
      <c r="G12" s="104"/>
      <c r="H12" s="104"/>
      <c r="I12" s="104"/>
      <c r="J12" s="104"/>
      <c r="K12" s="104"/>
    </row>
    <row r="13" spans="3:11">
      <c r="C13" s="104"/>
      <c r="D13" s="104"/>
      <c r="E13" s="104"/>
      <c r="F13" s="104"/>
      <c r="G13" s="104"/>
      <c r="H13" s="104"/>
      <c r="I13" s="104"/>
      <c r="J13" s="104"/>
      <c r="K13" s="104"/>
    </row>
    <row r="14" spans="3:11">
      <c r="C14" s="104"/>
      <c r="D14" s="104"/>
      <c r="E14" s="104"/>
      <c r="F14" s="104"/>
      <c r="G14" s="104"/>
      <c r="H14" s="104"/>
      <c r="I14" s="104"/>
      <c r="J14" s="104"/>
      <c r="K14" s="104"/>
    </row>
    <row r="15" spans="3:11">
      <c r="C15" s="104"/>
      <c r="D15" s="104"/>
      <c r="E15" s="104"/>
      <c r="F15" s="104"/>
      <c r="G15" s="104"/>
      <c r="H15" s="104"/>
      <c r="I15" s="104"/>
      <c r="J15" s="104"/>
      <c r="K15" s="104"/>
    </row>
    <row r="16" spans="3:11">
      <c r="C16" s="104"/>
      <c r="D16" s="104"/>
      <c r="E16" s="104"/>
      <c r="F16" s="104"/>
      <c r="G16" s="104"/>
      <c r="H16" s="104"/>
      <c r="I16" s="104"/>
      <c r="J16" s="104"/>
      <c r="K16" s="104"/>
    </row>
    <row r="17" spans="3:11">
      <c r="C17" s="104"/>
      <c r="D17" s="104"/>
      <c r="E17" s="104"/>
      <c r="F17" s="104"/>
      <c r="G17" s="104"/>
      <c r="H17" s="104"/>
      <c r="I17" s="104"/>
      <c r="J17" s="104"/>
      <c r="K17" s="104"/>
    </row>
    <row r="18" spans="3:11">
      <c r="C18" s="104"/>
      <c r="D18" s="104"/>
      <c r="E18" s="104"/>
      <c r="F18" s="104"/>
      <c r="G18" s="104"/>
      <c r="H18" s="104"/>
      <c r="I18" s="104"/>
      <c r="J18" s="104"/>
      <c r="K18" s="104"/>
    </row>
    <row r="19" spans="3:11">
      <c r="C19" s="104"/>
      <c r="D19" s="104"/>
      <c r="E19" s="104"/>
      <c r="F19" s="104"/>
      <c r="G19" s="104"/>
      <c r="H19" s="104"/>
      <c r="I19" s="104"/>
      <c r="J19" s="104"/>
      <c r="K19" s="104"/>
    </row>
    <row r="20" spans="3:11">
      <c r="C20" s="104"/>
      <c r="D20" s="104"/>
      <c r="E20" s="104"/>
      <c r="F20" s="104"/>
      <c r="G20" s="104"/>
      <c r="H20" s="104"/>
      <c r="I20" s="104"/>
      <c r="J20" s="104"/>
      <c r="K20" s="104"/>
    </row>
    <row r="21" spans="3:11">
      <c r="C21" s="104"/>
      <c r="D21" s="104"/>
      <c r="E21" s="104"/>
      <c r="F21" s="104"/>
      <c r="G21" s="104"/>
      <c r="H21" s="104"/>
      <c r="I21" s="104"/>
      <c r="J21" s="104"/>
      <c r="K21" s="104"/>
    </row>
    <row r="22" spans="3:11">
      <c r="C22" s="104"/>
      <c r="D22" s="104"/>
      <c r="E22" s="104"/>
      <c r="F22" s="104"/>
      <c r="G22" s="104"/>
      <c r="H22" s="104"/>
      <c r="I22" s="104"/>
      <c r="J22" s="104"/>
      <c r="K22" s="104"/>
    </row>
  </sheetData>
  <mergeCells count="1">
    <mergeCell ref="C7:K2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M92"/>
  <sheetViews>
    <sheetView tabSelected="1" topLeftCell="C54" workbookViewId="0">
      <selection activeCell="F16" sqref="C16:F16"/>
    </sheetView>
  </sheetViews>
  <sheetFormatPr defaultRowHeight="15"/>
  <cols>
    <col min="2" max="2" width="52.140625" customWidth="1"/>
    <col min="3" max="11" width="15.28515625" customWidth="1"/>
    <col min="12" max="12" width="12.7109375" bestFit="1" customWidth="1"/>
  </cols>
  <sheetData>
    <row r="2" spans="2:12">
      <c r="B2" s="15" t="s">
        <v>142</v>
      </c>
      <c r="G2" s="46"/>
    </row>
    <row r="4" spans="2:12">
      <c r="B4" s="15" t="s">
        <v>86</v>
      </c>
      <c r="C4" s="15">
        <v>2019</v>
      </c>
      <c r="D4" s="15">
        <v>2020</v>
      </c>
      <c r="E4" s="15">
        <v>2021</v>
      </c>
      <c r="F4" s="15">
        <v>2022</v>
      </c>
      <c r="G4" s="15">
        <v>2023</v>
      </c>
      <c r="H4" s="15">
        <v>2024</v>
      </c>
      <c r="I4" s="15">
        <v>2025</v>
      </c>
      <c r="J4" s="15">
        <v>2026</v>
      </c>
      <c r="K4" s="15">
        <v>2027</v>
      </c>
    </row>
    <row r="5" spans="2:12" ht="19.149999999999999" customHeight="1">
      <c r="B5" s="10" t="s">
        <v>82</v>
      </c>
      <c r="F5" s="31">
        <f>ОФР!D14</f>
        <v>11800000</v>
      </c>
      <c r="G5" s="31">
        <f>ОФР!E14</f>
        <v>12652000</v>
      </c>
      <c r="H5" s="31">
        <f>ОФР!F14</f>
        <v>13555120</v>
      </c>
      <c r="I5" s="31">
        <f>ОФР!G14</f>
        <v>14512427.200000003</v>
      </c>
      <c r="J5" s="31">
        <f>ОФР!H14</f>
        <v>15527172.832000002</v>
      </c>
      <c r="K5" s="31">
        <f>ОФР!I14</f>
        <v>18602803.201920003</v>
      </c>
    </row>
    <row r="6" spans="2:12" ht="19.149999999999999" customHeight="1">
      <c r="B6" s="10" t="s">
        <v>139</v>
      </c>
      <c r="F6" s="31">
        <f>ОФР!D15</f>
        <v>-18000</v>
      </c>
      <c r="G6" s="31">
        <f>ОФР!E15</f>
        <v>-18000</v>
      </c>
      <c r="H6" s="31">
        <f>ОФР!F15</f>
        <v>-18000</v>
      </c>
      <c r="I6" s="31">
        <f>ОФР!G15</f>
        <v>-18000</v>
      </c>
      <c r="J6" s="31">
        <f>ОФР!H15</f>
        <v>-18000</v>
      </c>
      <c r="K6" s="31">
        <f>ОФР!I15</f>
        <v>-18000</v>
      </c>
    </row>
    <row r="7" spans="2:12" ht="17.45" customHeight="1">
      <c r="B7" s="10" t="s">
        <v>87</v>
      </c>
      <c r="F7" s="31">
        <f>ОФР!D18</f>
        <v>-2356400</v>
      </c>
      <c r="G7" s="31">
        <f>ОФР!E18</f>
        <v>-2526800</v>
      </c>
      <c r="H7" s="31">
        <f>ОФР!F18</f>
        <v>-2707424</v>
      </c>
      <c r="I7" s="31">
        <f>ОФР!G18</f>
        <v>-2898885.4400000009</v>
      </c>
      <c r="J7" s="31">
        <f>ОФР!H18</f>
        <v>-3101834.5664000008</v>
      </c>
      <c r="K7" s="31">
        <f>ОФР!I18</f>
        <v>-3716960.6403840007</v>
      </c>
    </row>
    <row r="8" spans="2:12" ht="17.45" customHeight="1">
      <c r="B8" s="83" t="s">
        <v>83</v>
      </c>
      <c r="F8" s="31">
        <f>ОФР!D9+ОФР!D10</f>
        <v>-2400000</v>
      </c>
      <c r="G8" s="31">
        <f>ОФР!E9+ОФР!E10</f>
        <v>-2400000</v>
      </c>
      <c r="H8" s="31">
        <f>ОФР!F9+ОФР!F10</f>
        <v>-2400000</v>
      </c>
      <c r="I8" s="31">
        <f>ОФР!G9+ОФР!G10</f>
        <v>-2400000</v>
      </c>
      <c r="J8" s="31">
        <f>ОФР!H9+ОФР!H10</f>
        <v>-2400000</v>
      </c>
      <c r="K8" s="31">
        <f>ОФР!I9+ОФР!I10</f>
        <v>-400000</v>
      </c>
    </row>
    <row r="9" spans="2:12" ht="17.45" customHeight="1">
      <c r="B9" s="10" t="s">
        <v>84</v>
      </c>
      <c r="C9" s="31">
        <f>-Инвестиции!H4</f>
        <v>-1200000</v>
      </c>
      <c r="D9" s="31">
        <f>-Инвестиции!H5</f>
        <v>-4000000</v>
      </c>
      <c r="E9" s="31">
        <f>-Инвестиции!H6-Инвестиции!H7-Инвестиции!H8-Инвестиции!H10</f>
        <v>-20600000</v>
      </c>
      <c r="F9" s="16"/>
      <c r="G9" s="16"/>
      <c r="H9" s="16"/>
      <c r="I9" s="16"/>
      <c r="J9" s="16"/>
      <c r="K9" s="16"/>
    </row>
    <row r="10" spans="2:12" ht="19.149999999999999" customHeight="1">
      <c r="B10" s="10" t="s">
        <v>85</v>
      </c>
      <c r="F10" s="31">
        <f>WCR!F16</f>
        <v>-396000</v>
      </c>
      <c r="G10" s="31">
        <f>WCR!G16</f>
        <v>-419760</v>
      </c>
      <c r="H10" s="31">
        <f>WCR!H16</f>
        <v>-444945.59999999963</v>
      </c>
      <c r="I10" s="31">
        <f>WCR!I16</f>
        <v>-471642.33600000106</v>
      </c>
      <c r="J10" s="31">
        <f>WCR!J16</f>
        <v>-499940.87616000138</v>
      </c>
      <c r="K10" s="31">
        <f>WCR!K16</f>
        <v>8832288.8121600021</v>
      </c>
    </row>
    <row r="11" spans="2:12" ht="19.149999999999999" customHeight="1">
      <c r="B11" s="10" t="s">
        <v>112</v>
      </c>
      <c r="F11" s="59"/>
      <c r="G11" s="59"/>
      <c r="H11" s="59"/>
      <c r="I11" s="59"/>
      <c r="J11" s="59"/>
      <c r="K11" s="60">
        <f>Инвестиции!I16+Инвестиции!I17+Инвестиции!I18+K10</f>
        <v>15932288.812160002</v>
      </c>
      <c r="L11" s="46"/>
    </row>
    <row r="12" spans="2:12" ht="16.899999999999999" customHeight="1">
      <c r="B12" s="10" t="s">
        <v>86</v>
      </c>
      <c r="C12" s="31">
        <f>C5-C7+C8+C9-C10+C11</f>
        <v>-1200000</v>
      </c>
      <c r="D12" s="31">
        <f t="shared" ref="D12:E12" si="0">D5-D7+D8+D9-D10+D11</f>
        <v>-4000000</v>
      </c>
      <c r="E12" s="31">
        <f t="shared" si="0"/>
        <v>-20600000</v>
      </c>
      <c r="F12" s="31">
        <f>F5+F6+F7-F8+F9+F10+F11</f>
        <v>11429600</v>
      </c>
      <c r="G12" s="31">
        <f>G5+G6+G7-G8+G9+G10+G11</f>
        <v>12087440</v>
      </c>
      <c r="H12" s="31">
        <f t="shared" ref="H12:J12" si="1">H5+H6+H7-H8+H9+H10+H11</f>
        <v>12784750.4</v>
      </c>
      <c r="I12" s="31">
        <f t="shared" si="1"/>
        <v>13523899.424000001</v>
      </c>
      <c r="J12" s="31">
        <f t="shared" si="1"/>
        <v>14307397.38944</v>
      </c>
      <c r="K12" s="31">
        <f>K5+K6+K7-K8+K9+K11</f>
        <v>31200131.373696007</v>
      </c>
    </row>
    <row r="13" spans="2:12" s="26" customFormat="1" ht="6" customHeight="1">
      <c r="B13" s="25"/>
      <c r="F13" s="61"/>
      <c r="G13" s="61"/>
      <c r="H13" s="61"/>
      <c r="I13" s="61"/>
      <c r="J13" s="61"/>
      <c r="K13" s="61"/>
    </row>
    <row r="14" spans="2:12">
      <c r="B14" s="10" t="s">
        <v>88</v>
      </c>
      <c r="C14" s="16"/>
      <c r="D14" s="16"/>
      <c r="E14" s="16"/>
      <c r="F14" s="16"/>
      <c r="G14" s="16"/>
      <c r="H14" s="16"/>
      <c r="I14" s="16"/>
      <c r="J14" s="16"/>
      <c r="K14" s="16"/>
    </row>
    <row r="15" spans="2:12">
      <c r="B15" s="21" t="s">
        <v>89</v>
      </c>
      <c r="C15" s="16"/>
      <c r="D15" s="16"/>
      <c r="E15" s="16"/>
      <c r="F15" s="16"/>
      <c r="G15" s="16"/>
      <c r="H15" s="16"/>
      <c r="I15" s="16"/>
      <c r="J15" s="16"/>
      <c r="K15" s="16"/>
    </row>
    <row r="16" spans="2:12">
      <c r="B16" s="21" t="s">
        <v>90</v>
      </c>
      <c r="C16" s="16"/>
      <c r="D16" s="16"/>
      <c r="E16" s="16"/>
      <c r="F16" s="16"/>
      <c r="G16" s="16"/>
      <c r="H16" s="16"/>
      <c r="I16" s="16"/>
      <c r="J16" s="16"/>
      <c r="K16" s="16"/>
    </row>
    <row r="18" spans="2:13">
      <c r="G18" s="46"/>
    </row>
    <row r="20" spans="2:13">
      <c r="B20" s="15" t="s">
        <v>159</v>
      </c>
      <c r="F20" s="46"/>
      <c r="G20" s="46"/>
      <c r="H20" s="46"/>
      <c r="I20" s="46"/>
      <c r="J20" s="46"/>
      <c r="K20" s="46"/>
      <c r="L20" s="46"/>
      <c r="M20" s="46"/>
    </row>
    <row r="22" spans="2:13">
      <c r="B22" s="15" t="str">
        <f>B4</f>
        <v>Свободный денежный поток компании (FCFF)</v>
      </c>
      <c r="C22" s="15">
        <f>C4</f>
        <v>2019</v>
      </c>
      <c r="D22" s="15">
        <f t="shared" ref="D22:K22" si="2">D4</f>
        <v>2020</v>
      </c>
      <c r="E22" s="15">
        <f t="shared" si="2"/>
        <v>2021</v>
      </c>
      <c r="F22" s="15">
        <f t="shared" si="2"/>
        <v>2022</v>
      </c>
      <c r="G22" s="15">
        <f t="shared" si="2"/>
        <v>2023</v>
      </c>
      <c r="H22" s="15">
        <f t="shared" si="2"/>
        <v>2024</v>
      </c>
      <c r="I22" s="15">
        <f t="shared" si="2"/>
        <v>2025</v>
      </c>
      <c r="J22" s="15">
        <f t="shared" si="2"/>
        <v>2026</v>
      </c>
      <c r="K22" s="15">
        <f t="shared" si="2"/>
        <v>2027</v>
      </c>
    </row>
    <row r="24" spans="2:13">
      <c r="B24" s="40" t="s">
        <v>160</v>
      </c>
      <c r="C24" s="72"/>
      <c r="D24" s="72"/>
      <c r="E24" s="72"/>
      <c r="F24" s="78">
        <f>F25-F26</f>
        <v>54472000</v>
      </c>
      <c r="G24" s="78">
        <f>G25-G26</f>
        <v>57740320</v>
      </c>
      <c r="H24" s="78">
        <f t="shared" ref="H24:K24" si="3">H25-H26</f>
        <v>61204739.200000003</v>
      </c>
      <c r="I24" s="78">
        <f t="shared" si="3"/>
        <v>64877023.552000001</v>
      </c>
      <c r="J24" s="78">
        <f t="shared" si="3"/>
        <v>68769644.965120018</v>
      </c>
      <c r="K24" s="78">
        <f t="shared" si="3"/>
        <v>85378791.850880027</v>
      </c>
    </row>
    <row r="25" spans="2:13">
      <c r="B25" s="75" t="s">
        <v>161</v>
      </c>
      <c r="C25" s="72"/>
      <c r="D25" s="72"/>
      <c r="E25" s="72"/>
      <c r="F25" s="78">
        <f>ОФР!D5</f>
        <v>55000000</v>
      </c>
      <c r="G25" s="78">
        <f>ОФР!E5</f>
        <v>58300000</v>
      </c>
      <c r="H25" s="78">
        <f>ОФР!F5</f>
        <v>61798000</v>
      </c>
      <c r="I25" s="78">
        <f>ОФР!G5</f>
        <v>65505880</v>
      </c>
      <c r="J25" s="78">
        <f>ОФР!H5</f>
        <v>69436232.800000012</v>
      </c>
      <c r="K25" s="78">
        <f>ОФР!I5</f>
        <v>73602406.768000022</v>
      </c>
    </row>
    <row r="26" spans="2:13">
      <c r="B26" s="75" t="s">
        <v>162</v>
      </c>
      <c r="C26" s="72"/>
      <c r="D26" s="72"/>
      <c r="E26" s="72"/>
      <c r="F26" s="78">
        <f>F67-E67</f>
        <v>528000</v>
      </c>
      <c r="G26" s="78">
        <f t="shared" ref="G26:K26" si="4">G67-F67</f>
        <v>559680</v>
      </c>
      <c r="H26" s="78">
        <f t="shared" si="4"/>
        <v>593260.80000000075</v>
      </c>
      <c r="I26" s="78">
        <f>I67-H67</f>
        <v>628856.44800000079</v>
      </c>
      <c r="J26" s="78">
        <f t="shared" si="4"/>
        <v>666587.83488000184</v>
      </c>
      <c r="K26" s="78">
        <f t="shared" si="4"/>
        <v>-11776385.082880003</v>
      </c>
    </row>
    <row r="27" spans="2:13">
      <c r="B27" s="40" t="s">
        <v>184</v>
      </c>
      <c r="C27" s="72"/>
      <c r="D27" s="72"/>
      <c r="E27" s="72"/>
      <c r="F27" s="78">
        <f>F28-F29+F30</f>
        <v>-40668000</v>
      </c>
      <c r="G27" s="78">
        <f>G28-G29+G30</f>
        <v>-43108080</v>
      </c>
      <c r="H27" s="78">
        <f t="shared" ref="H27:K27" si="5">H28-H29+H30</f>
        <v>-45694564.800000004</v>
      </c>
      <c r="I27" s="78">
        <f t="shared" si="5"/>
        <v>-48436238.688000001</v>
      </c>
      <c r="J27" s="78">
        <f t="shared" si="5"/>
        <v>-51342413.009280011</v>
      </c>
      <c r="K27" s="78">
        <f t="shared" si="5"/>
        <v>-57543699.836800024</v>
      </c>
    </row>
    <row r="28" spans="2:13">
      <c r="B28" s="79" t="s">
        <v>185</v>
      </c>
      <c r="C28" s="72"/>
      <c r="D28" s="72"/>
      <c r="E28" s="72"/>
      <c r="F28" s="73">
        <f>ОФР!D6-ОФР!D9-ОФР!D10</f>
        <v>-40800000</v>
      </c>
      <c r="G28" s="73">
        <f>ОФР!E6-ОФР!E9-ОФР!E10</f>
        <v>-43248000</v>
      </c>
      <c r="H28" s="73">
        <f>ОФР!F6-ОФР!F9-ОФР!F10</f>
        <v>-45842880</v>
      </c>
      <c r="I28" s="73">
        <f>ОФР!G6-ОФР!G9-ОФР!G10</f>
        <v>-48593452.799999997</v>
      </c>
      <c r="J28" s="73">
        <f>ОФР!H6-ОФР!H9-ОФР!H10</f>
        <v>-51509059.96800001</v>
      </c>
      <c r="K28" s="73">
        <f>ОФР!I6-ОФР!I9-ОФР!I10</f>
        <v>-54599603.566080019</v>
      </c>
    </row>
    <row r="29" spans="2:13">
      <c r="B29" s="75" t="s">
        <v>186</v>
      </c>
      <c r="C29" s="72"/>
      <c r="D29" s="72"/>
      <c r="E29" s="72"/>
      <c r="F29" s="78">
        <f>F68-E68</f>
        <v>462000</v>
      </c>
      <c r="G29" s="78">
        <f>G68-F68</f>
        <v>489719.99999999907</v>
      </c>
      <c r="H29" s="78">
        <f t="shared" ref="H29:I29" si="6">H68-G68</f>
        <v>519103.20000000112</v>
      </c>
      <c r="I29" s="78">
        <f t="shared" si="6"/>
        <v>550249.39200000092</v>
      </c>
      <c r="J29" s="78">
        <f>J68-I68</f>
        <v>583264.35552000254</v>
      </c>
      <c r="K29" s="78">
        <f>K68-J68</f>
        <v>-10304336.947520005</v>
      </c>
    </row>
    <row r="30" spans="2:13" ht="45">
      <c r="B30" s="80" t="s">
        <v>187</v>
      </c>
      <c r="C30" s="72"/>
      <c r="D30" s="72"/>
      <c r="E30" s="72"/>
      <c r="F30" s="78">
        <f>F82-E82</f>
        <v>594000</v>
      </c>
      <c r="G30" s="78">
        <f t="shared" ref="G30:J30" si="7">G82-F82</f>
        <v>629640</v>
      </c>
      <c r="H30" s="78">
        <f t="shared" si="7"/>
        <v>667418.40000000037</v>
      </c>
      <c r="I30" s="78">
        <f t="shared" si="7"/>
        <v>707463.50400000066</v>
      </c>
      <c r="J30" s="78">
        <f t="shared" si="7"/>
        <v>749911.314240003</v>
      </c>
      <c r="K30" s="78">
        <f>K82-J82</f>
        <v>-13248433.218240004</v>
      </c>
      <c r="L30" s="46"/>
    </row>
    <row r="31" spans="2:13">
      <c r="B31" s="72"/>
      <c r="C31" s="72"/>
      <c r="D31" s="72"/>
      <c r="E31" s="72"/>
      <c r="F31" s="72"/>
      <c r="G31" s="72"/>
      <c r="H31" s="72"/>
      <c r="I31" s="72"/>
      <c r="J31" s="72"/>
      <c r="K31" s="72"/>
    </row>
    <row r="32" spans="2:13">
      <c r="B32" s="8" t="s">
        <v>163</v>
      </c>
      <c r="C32" s="72"/>
      <c r="D32" s="72"/>
      <c r="E32" s="72"/>
      <c r="F32" s="72">
        <f>ОФР!D12+ОФР!D13</f>
        <v>0</v>
      </c>
      <c r="G32" s="72">
        <v>0</v>
      </c>
      <c r="H32" s="72"/>
      <c r="I32" s="72"/>
      <c r="J32" s="72"/>
      <c r="K32" s="72"/>
    </row>
    <row r="33" spans="2:12" ht="27.6" customHeight="1">
      <c r="B33" s="81" t="s">
        <v>164</v>
      </c>
      <c r="C33" s="72"/>
      <c r="D33" s="72"/>
      <c r="E33" s="72"/>
      <c r="F33" s="72"/>
      <c r="G33" s="72"/>
      <c r="H33" s="72"/>
      <c r="I33" s="72"/>
      <c r="J33" s="72"/>
      <c r="K33" s="72"/>
    </row>
    <row r="34" spans="2:12">
      <c r="B34" s="8" t="s">
        <v>183</v>
      </c>
      <c r="C34" s="72"/>
      <c r="D34" s="72"/>
      <c r="E34" s="72"/>
      <c r="F34" s="73">
        <f>ОФР!D15</f>
        <v>-18000</v>
      </c>
      <c r="G34" s="73">
        <f>ОФР!E15</f>
        <v>-18000</v>
      </c>
      <c r="H34" s="73">
        <f>ОФР!F15</f>
        <v>-18000</v>
      </c>
      <c r="I34" s="73">
        <f>ОФР!G15</f>
        <v>-18000</v>
      </c>
      <c r="J34" s="73">
        <f>ОФР!H15</f>
        <v>-18000</v>
      </c>
      <c r="K34" s="73">
        <f>ОФР!I15</f>
        <v>-18000</v>
      </c>
    </row>
    <row r="35" spans="2:12">
      <c r="B35" s="72"/>
      <c r="C35" s="72"/>
      <c r="D35" s="72"/>
      <c r="E35" s="72"/>
      <c r="F35" s="72"/>
      <c r="G35" s="72"/>
      <c r="H35" s="72"/>
      <c r="I35" s="72"/>
      <c r="J35" s="72"/>
      <c r="K35" s="72"/>
    </row>
    <row r="36" spans="2:12">
      <c r="B36" s="8" t="s">
        <v>165</v>
      </c>
      <c r="C36" s="72"/>
      <c r="D36" s="72"/>
      <c r="E36" s="72"/>
      <c r="F36" s="73">
        <f>F37+F38</f>
        <v>-2356400</v>
      </c>
      <c r="G36" s="73">
        <f t="shared" ref="G36:K36" si="8">G37+G38</f>
        <v>-2526800</v>
      </c>
      <c r="H36" s="73">
        <f t="shared" si="8"/>
        <v>-2707424</v>
      </c>
      <c r="I36" s="73">
        <f t="shared" si="8"/>
        <v>-2898885.4400000009</v>
      </c>
      <c r="J36" s="73">
        <f t="shared" si="8"/>
        <v>-3101834.5664000008</v>
      </c>
      <c r="K36" s="73">
        <f t="shared" si="8"/>
        <v>-3716960.6403840007</v>
      </c>
    </row>
    <row r="37" spans="2:12">
      <c r="B37" s="75" t="s">
        <v>79</v>
      </c>
      <c r="C37" s="72"/>
      <c r="D37" s="72"/>
      <c r="E37" s="72"/>
      <c r="F37" s="73">
        <f>ОФР!D18</f>
        <v>-2356400</v>
      </c>
      <c r="G37" s="73">
        <f>ОФР!E18</f>
        <v>-2526800</v>
      </c>
      <c r="H37" s="73">
        <f>ОФР!F18</f>
        <v>-2707424</v>
      </c>
      <c r="I37" s="73">
        <f>ОФР!G18</f>
        <v>-2898885.4400000009</v>
      </c>
      <c r="J37" s="73">
        <f>ОФР!H18</f>
        <v>-3101834.5664000008</v>
      </c>
      <c r="K37" s="73">
        <f>ОФР!I18</f>
        <v>-3716960.6403840007</v>
      </c>
    </row>
    <row r="38" spans="2:12">
      <c r="B38" s="75" t="s">
        <v>166</v>
      </c>
      <c r="C38" s="72"/>
      <c r="D38" s="72"/>
      <c r="E38" s="72"/>
      <c r="F38" s="72"/>
      <c r="G38" s="72"/>
      <c r="H38" s="72"/>
      <c r="I38" s="72"/>
      <c r="J38" s="72"/>
      <c r="K38" s="72"/>
    </row>
    <row r="39" spans="2:12">
      <c r="B39" s="75"/>
      <c r="C39" s="72"/>
      <c r="D39" s="72"/>
      <c r="E39" s="72"/>
      <c r="F39" s="72"/>
      <c r="G39" s="72"/>
      <c r="H39" s="72"/>
      <c r="I39" s="72"/>
      <c r="J39" s="72"/>
      <c r="K39" s="72"/>
    </row>
    <row r="40" spans="2:12">
      <c r="B40" s="75" t="s">
        <v>182</v>
      </c>
      <c r="C40" s="73">
        <f>-Инвестиции!H4</f>
        <v>-1200000</v>
      </c>
      <c r="D40" s="73">
        <f>-Инвестиции!H5</f>
        <v>-4000000</v>
      </c>
      <c r="E40" s="73">
        <f>-Инвестиции!H6-Инвестиции!H7-Инвестиции!H8-Инвестиции!H10</f>
        <v>-20600000</v>
      </c>
      <c r="F40" s="72"/>
      <c r="G40" s="72"/>
      <c r="H40" s="72"/>
      <c r="I40" s="72"/>
      <c r="J40" s="72"/>
      <c r="K40" s="73">
        <f>Инвестиции!I16+Инвестиции!I17+Инвестиции!I18</f>
        <v>7100000</v>
      </c>
    </row>
    <row r="41" spans="2:12">
      <c r="B41" s="72"/>
      <c r="C41" s="73"/>
      <c r="D41" s="73"/>
      <c r="E41" s="73"/>
      <c r="G41" s="72"/>
      <c r="H41" s="72"/>
      <c r="I41" s="72"/>
      <c r="J41" s="72"/>
      <c r="K41" s="78"/>
    </row>
    <row r="42" spans="2:12">
      <c r="B42" s="82" t="s">
        <v>86</v>
      </c>
      <c r="C42" s="31">
        <f>C24+C27+C32+C36+C40+C34</f>
        <v>-1200000</v>
      </c>
      <c r="D42" s="31">
        <f t="shared" ref="D42:I42" si="9">D24+D27+D32+D36+D40+D34</f>
        <v>-4000000</v>
      </c>
      <c r="E42" s="31">
        <f t="shared" si="9"/>
        <v>-20600000</v>
      </c>
      <c r="F42" s="31">
        <f>F24+F27+F32+F36+F40+F34</f>
        <v>11429600</v>
      </c>
      <c r="G42" s="31">
        <f>G24+G27+G32+G36+G40+G34</f>
        <v>12087440</v>
      </c>
      <c r="H42" s="31">
        <f t="shared" si="9"/>
        <v>12784750.399999999</v>
      </c>
      <c r="I42" s="31">
        <f t="shared" si="9"/>
        <v>13523899.423999999</v>
      </c>
      <c r="J42" s="31">
        <f>J24+J27+J32+J36+J40+J34</f>
        <v>14307397.389440006</v>
      </c>
      <c r="K42" s="31">
        <f>K24+K27+K32+K36+K40+K34</f>
        <v>31200131.373696003</v>
      </c>
      <c r="L42" s="46">
        <f>K42-K12</f>
        <v>0</v>
      </c>
    </row>
    <row r="43" spans="2:12" s="84" customFormat="1" ht="1.9" customHeight="1"/>
    <row r="44" spans="2:12">
      <c r="B44" t="s">
        <v>195</v>
      </c>
    </row>
    <row r="45" spans="2:12">
      <c r="B45" t="s">
        <v>174</v>
      </c>
      <c r="C45" s="46">
        <f>-C40</f>
        <v>1200000</v>
      </c>
    </row>
    <row r="46" spans="2:12">
      <c r="B46" t="s">
        <v>201</v>
      </c>
    </row>
    <row r="47" spans="2:12">
      <c r="B47" t="s">
        <v>196</v>
      </c>
      <c r="D47" s="46">
        <f>-D40</f>
        <v>4000000</v>
      </c>
      <c r="E47" s="46">
        <f>-E40-E50</f>
        <v>21000000</v>
      </c>
    </row>
    <row r="48" spans="2:12">
      <c r="B48" t="s">
        <v>197</v>
      </c>
      <c r="F48" s="86">
        <f>-($D$47+$E$47)/5</f>
        <v>-5000000</v>
      </c>
      <c r="G48" s="86">
        <f t="shared" ref="G48:J48" si="10">-($D$47+$E$47)/5</f>
        <v>-5000000</v>
      </c>
      <c r="H48" s="86">
        <f t="shared" si="10"/>
        <v>-5000000</v>
      </c>
      <c r="I48" s="86">
        <f t="shared" si="10"/>
        <v>-5000000</v>
      </c>
      <c r="J48" s="86">
        <f t="shared" si="10"/>
        <v>-5000000</v>
      </c>
    </row>
    <row r="49" spans="1:13" s="90" customFormat="1" ht="11.45" customHeight="1">
      <c r="B49" s="101" t="s">
        <v>206</v>
      </c>
      <c r="D49" s="91">
        <f>SUM($D$47:D47)</f>
        <v>4000000</v>
      </c>
      <c r="E49" s="91">
        <f>SUM($D$47:E47)</f>
        <v>25000000</v>
      </c>
      <c r="F49" s="91">
        <f>E49+F48</f>
        <v>20000000</v>
      </c>
      <c r="G49" s="91">
        <f t="shared" ref="G49:J49" si="11">F49+G48</f>
        <v>15000000</v>
      </c>
      <c r="H49" s="91">
        <f t="shared" si="11"/>
        <v>10000000</v>
      </c>
      <c r="I49" s="91">
        <f t="shared" si="11"/>
        <v>5000000</v>
      </c>
      <c r="J49" s="91">
        <f t="shared" si="11"/>
        <v>0</v>
      </c>
    </row>
    <row r="50" spans="1:13">
      <c r="A50" s="85">
        <v>0.1</v>
      </c>
      <c r="B50" t="s">
        <v>198</v>
      </c>
      <c r="D50" s="87"/>
      <c r="E50" s="88">
        <f>-D49*$A$50</f>
        <v>-400000</v>
      </c>
      <c r="F50" s="88">
        <f t="shared" ref="F50:J50" si="12">-E49*$A$50</f>
        <v>-2500000</v>
      </c>
      <c r="G50" s="88">
        <f t="shared" si="12"/>
        <v>-2000000</v>
      </c>
      <c r="H50" s="88">
        <f t="shared" si="12"/>
        <v>-1500000</v>
      </c>
      <c r="I50" s="88">
        <f t="shared" si="12"/>
        <v>-1000000</v>
      </c>
      <c r="J50" s="88">
        <f t="shared" si="12"/>
        <v>-500000</v>
      </c>
    </row>
    <row r="51" spans="1:13">
      <c r="B51" t="s">
        <v>200</v>
      </c>
      <c r="C51" s="46">
        <f>C45+C46+C47+C48+C50</f>
        <v>1200000</v>
      </c>
      <c r="D51" s="46">
        <f t="shared" ref="D51:K51" si="13">D45+D46+D47+D48+D50</f>
        <v>4000000</v>
      </c>
      <c r="E51" s="46">
        <f t="shared" si="13"/>
        <v>20600000</v>
      </c>
      <c r="F51" s="46">
        <f t="shared" si="13"/>
        <v>-7500000</v>
      </c>
      <c r="G51" s="46">
        <f t="shared" si="13"/>
        <v>-7000000</v>
      </c>
      <c r="H51" s="46">
        <f t="shared" si="13"/>
        <v>-6500000</v>
      </c>
      <c r="I51" s="46">
        <f t="shared" si="13"/>
        <v>-6000000</v>
      </c>
      <c r="J51" s="46">
        <f t="shared" si="13"/>
        <v>-5500000</v>
      </c>
      <c r="K51" s="46">
        <f t="shared" si="13"/>
        <v>0</v>
      </c>
    </row>
    <row r="52" spans="1:13">
      <c r="B52" t="s">
        <v>203</v>
      </c>
      <c r="C52">
        <v>0</v>
      </c>
      <c r="D52" s="46">
        <f>C54</f>
        <v>0</v>
      </c>
      <c r="E52" s="46">
        <f t="shared" ref="E52:K52" si="14">D54</f>
        <v>0</v>
      </c>
      <c r="F52" s="46">
        <f t="shared" si="14"/>
        <v>0</v>
      </c>
      <c r="G52" s="46">
        <f t="shared" si="14"/>
        <v>3929600</v>
      </c>
      <c r="H52" s="46">
        <f t="shared" si="14"/>
        <v>9017040</v>
      </c>
      <c r="I52" s="46">
        <f t="shared" si="14"/>
        <v>15301790.399999999</v>
      </c>
      <c r="J52" s="46">
        <f t="shared" si="14"/>
        <v>22825689.823999997</v>
      </c>
      <c r="K52" s="46">
        <f t="shared" si="14"/>
        <v>31633087.213440001</v>
      </c>
    </row>
    <row r="53" spans="1:13">
      <c r="B53" t="s">
        <v>199</v>
      </c>
      <c r="C53" s="46">
        <f>C42+C51</f>
        <v>0</v>
      </c>
      <c r="D53" s="46">
        <f t="shared" ref="D53:K53" si="15">D42+D51</f>
        <v>0</v>
      </c>
      <c r="E53" s="46">
        <f t="shared" si="15"/>
        <v>0</v>
      </c>
      <c r="F53" s="46">
        <f t="shared" si="15"/>
        <v>3929600</v>
      </c>
      <c r="G53" s="46">
        <f t="shared" si="15"/>
        <v>5087440</v>
      </c>
      <c r="H53" s="46">
        <f t="shared" si="15"/>
        <v>6284750.3999999985</v>
      </c>
      <c r="I53" s="46">
        <f t="shared" si="15"/>
        <v>7523899.4239999987</v>
      </c>
      <c r="J53" s="46">
        <f t="shared" si="15"/>
        <v>8807397.3894400056</v>
      </c>
      <c r="K53" s="46">
        <f t="shared" si="15"/>
        <v>31200131.373696003</v>
      </c>
    </row>
    <row r="54" spans="1:13">
      <c r="B54" t="s">
        <v>204</v>
      </c>
      <c r="C54" s="46">
        <f>C52+C53</f>
        <v>0</v>
      </c>
      <c r="D54" s="46">
        <f t="shared" ref="D54:K54" si="16">D52+D53</f>
        <v>0</v>
      </c>
      <c r="E54" s="46">
        <f t="shared" si="16"/>
        <v>0</v>
      </c>
      <c r="F54" s="46">
        <f t="shared" si="16"/>
        <v>3929600</v>
      </c>
      <c r="G54" s="46">
        <f t="shared" si="16"/>
        <v>9017040</v>
      </c>
      <c r="H54" s="46">
        <f t="shared" si="16"/>
        <v>15301790.399999999</v>
      </c>
      <c r="I54" s="46">
        <f t="shared" si="16"/>
        <v>22825689.823999997</v>
      </c>
      <c r="J54" s="46">
        <f t="shared" si="16"/>
        <v>31633087.213440001</v>
      </c>
      <c r="K54" s="46">
        <f t="shared" si="16"/>
        <v>62833218.587136</v>
      </c>
    </row>
    <row r="56" spans="1:13">
      <c r="B56" s="15" t="s">
        <v>167</v>
      </c>
      <c r="C56" s="15">
        <v>2019</v>
      </c>
      <c r="D56" s="15">
        <v>2020</v>
      </c>
      <c r="E56" s="15">
        <v>2021</v>
      </c>
      <c r="F56" s="15">
        <v>2022</v>
      </c>
      <c r="G56" s="15">
        <v>2023</v>
      </c>
      <c r="H56" s="15">
        <v>2024</v>
      </c>
      <c r="I56" s="15">
        <v>2025</v>
      </c>
      <c r="J56" s="15">
        <v>2026</v>
      </c>
      <c r="K56" s="15">
        <v>2027</v>
      </c>
    </row>
    <row r="57" spans="1:13">
      <c r="B57" s="71" t="s">
        <v>172</v>
      </c>
      <c r="C57" s="72"/>
      <c r="D57" s="72"/>
      <c r="E57" s="72"/>
      <c r="F57" s="72"/>
      <c r="G57" s="72"/>
      <c r="H57" s="72"/>
      <c r="I57" s="72"/>
      <c r="J57" s="72"/>
      <c r="K57" s="72"/>
    </row>
    <row r="58" spans="1:13">
      <c r="B58" s="71" t="s">
        <v>168</v>
      </c>
      <c r="C58" s="73">
        <f>SUM(C59:C65)</f>
        <v>1200000</v>
      </c>
      <c r="D58" s="74">
        <f>SUM(D59:D65)</f>
        <v>5200000</v>
      </c>
      <c r="E58" s="74">
        <f>SUM(E59:E65)</f>
        <v>19200000</v>
      </c>
      <c r="F58" s="74">
        <f>F59+F61+F63</f>
        <v>16800000</v>
      </c>
      <c r="G58" s="74">
        <f t="shared" ref="G58:K58" si="17">G59+G61+G63</f>
        <v>14400000</v>
      </c>
      <c r="H58" s="74">
        <f t="shared" si="17"/>
        <v>12000000</v>
      </c>
      <c r="I58" s="74">
        <f t="shared" si="17"/>
        <v>9600000</v>
      </c>
      <c r="J58" s="74">
        <f t="shared" si="17"/>
        <v>7200000</v>
      </c>
      <c r="K58" s="74">
        <f t="shared" si="17"/>
        <v>0</v>
      </c>
    </row>
    <row r="59" spans="1:13">
      <c r="B59" s="75" t="s">
        <v>169</v>
      </c>
      <c r="C59" s="76">
        <f>Инвестиции!$D$16</f>
        <v>1200000</v>
      </c>
      <c r="D59" s="76">
        <f>Инвестиции!$D$16</f>
        <v>1200000</v>
      </c>
      <c r="E59" s="76">
        <f>Инвестиции!$D$16</f>
        <v>1200000</v>
      </c>
      <c r="F59" s="76">
        <f>Инвестиции!$D$16</f>
        <v>1200000</v>
      </c>
      <c r="G59" s="76">
        <f>Инвестиции!$D$16</f>
        <v>1200000</v>
      </c>
      <c r="H59" s="76">
        <f>Инвестиции!$D$16</f>
        <v>1200000</v>
      </c>
      <c r="I59" s="76">
        <f>Инвестиции!$D$16</f>
        <v>1200000</v>
      </c>
      <c r="J59" s="76">
        <f>Инвестиции!$D$16</f>
        <v>1200000</v>
      </c>
      <c r="K59" s="76">
        <f>Инвестиции!H16-Инвестиции!H16</f>
        <v>0</v>
      </c>
    </row>
    <row r="60" spans="1:13" s="97" customFormat="1">
      <c r="B60" s="101" t="s">
        <v>214</v>
      </c>
      <c r="C60" s="98"/>
      <c r="D60" s="98"/>
      <c r="E60" s="98"/>
      <c r="F60" s="98">
        <f>Инвестиции!$H$5+Инвестиции!$H$6</f>
        <v>8000000</v>
      </c>
      <c r="G60" s="98">
        <f>Инвестиции!$H$5+Инвестиции!$H$6</f>
        <v>8000000</v>
      </c>
      <c r="H60" s="98">
        <f>Инвестиции!$H$5+Инвестиции!$H$6</f>
        <v>8000000</v>
      </c>
      <c r="I60" s="98">
        <f>Инвестиции!$H$5+Инвестиции!$H$6</f>
        <v>8000000</v>
      </c>
      <c r="J60" s="98">
        <f>Инвестиции!$H$5+Инвестиции!$H$6</f>
        <v>8000000</v>
      </c>
      <c r="K60" s="98">
        <f>Инвестиции!$H$5+Инвестиции!$H$6</f>
        <v>8000000</v>
      </c>
      <c r="L60" s="99"/>
      <c r="M60" s="99"/>
    </row>
    <row r="61" spans="1:13">
      <c r="B61" s="75" t="s">
        <v>212</v>
      </c>
      <c r="C61" s="76"/>
      <c r="D61" s="76"/>
      <c r="E61" s="76"/>
      <c r="F61" s="76">
        <f>F60+ОФР!D9</f>
        <v>7600000</v>
      </c>
      <c r="G61" s="76">
        <f>F61+ОФР!D9</f>
        <v>7200000</v>
      </c>
      <c r="H61" s="76">
        <f>G61+ОФР!F9</f>
        <v>6800000</v>
      </c>
      <c r="I61" s="76">
        <f>H61+ОФР!G9</f>
        <v>6400000</v>
      </c>
      <c r="J61" s="76">
        <f>I61+ОФР!H9</f>
        <v>6000000</v>
      </c>
      <c r="K61" s="76">
        <f>J61+ОФР!I9-Инвестиции!H17</f>
        <v>0</v>
      </c>
      <c r="L61" s="69"/>
      <c r="M61" s="69"/>
    </row>
    <row r="62" spans="1:13" s="97" customFormat="1">
      <c r="B62" s="101" t="s">
        <v>215</v>
      </c>
      <c r="C62" s="98"/>
      <c r="D62" s="98"/>
      <c r="E62" s="98"/>
      <c r="F62" s="98">
        <f>Инвестиции!$H$7+Инвестиции!$H$8+Инвестиции!$H$9</f>
        <v>10000000</v>
      </c>
      <c r="G62" s="98">
        <f>Инвестиции!$H$7+Инвестиции!$H$8+Инвестиции!$H$9</f>
        <v>10000000</v>
      </c>
      <c r="H62" s="98">
        <f>Инвестиции!$H$7+Инвестиции!$H$8+Инвестиции!$H$9</f>
        <v>10000000</v>
      </c>
      <c r="I62" s="98">
        <f>Инвестиции!$H$7+Инвестиции!$H$8+Инвестиции!$H$9</f>
        <v>10000000</v>
      </c>
      <c r="J62" s="98">
        <f>Инвестиции!$H$7+Инвестиции!$H$8+Инвестиции!$H$9</f>
        <v>10000000</v>
      </c>
      <c r="K62" s="98">
        <f>Инвестиции!$H$7+Инвестиции!$H$8+Инвестиции!$H$9</f>
        <v>10000000</v>
      </c>
    </row>
    <row r="63" spans="1:13">
      <c r="B63" s="75" t="s">
        <v>211</v>
      </c>
      <c r="C63" s="76"/>
      <c r="D63" s="76"/>
      <c r="E63" s="76"/>
      <c r="F63" s="76">
        <f>F62+ОФР!D10</f>
        <v>8000000</v>
      </c>
      <c r="G63" s="76">
        <f>F63+ОФР!E10</f>
        <v>6000000</v>
      </c>
      <c r="H63" s="76">
        <f>G63+ОФР!F10</f>
        <v>4000000</v>
      </c>
      <c r="I63" s="76">
        <f>H63+ОФР!G10</f>
        <v>2000000</v>
      </c>
      <c r="J63" s="76">
        <f>I63+ОФР!H10</f>
        <v>0</v>
      </c>
      <c r="K63" s="76"/>
    </row>
    <row r="64" spans="1:13">
      <c r="B64" s="75" t="s">
        <v>55</v>
      </c>
      <c r="C64" s="76"/>
      <c r="D64" s="76">
        <f>Инвестиции!H5</f>
        <v>4000000</v>
      </c>
      <c r="E64" s="76">
        <f>D64+Инвестиции!H6+Инвестиции!H7+Инвестиции!H8</f>
        <v>18000000</v>
      </c>
      <c r="F64" s="76"/>
      <c r="G64" s="76"/>
      <c r="H64" s="76"/>
      <c r="I64" s="76"/>
      <c r="J64" s="76"/>
      <c r="K64" s="76"/>
    </row>
    <row r="65" spans="2:12" s="100" customFormat="1">
      <c r="B65" s="101" t="s">
        <v>216</v>
      </c>
      <c r="C65" s="102"/>
      <c r="D65" s="102"/>
      <c r="E65" s="102"/>
      <c r="F65" s="102">
        <f>СF!F8</f>
        <v>-2400000</v>
      </c>
      <c r="G65" s="102">
        <f>F65+G8</f>
        <v>-4800000</v>
      </c>
      <c r="H65" s="102">
        <f t="shared" ref="H65:K65" si="18">G65+H8</f>
        <v>-7200000</v>
      </c>
      <c r="I65" s="102">
        <f t="shared" si="18"/>
        <v>-9600000</v>
      </c>
      <c r="J65" s="102">
        <f t="shared" si="18"/>
        <v>-12000000</v>
      </c>
      <c r="K65" s="102">
        <f t="shared" si="18"/>
        <v>-12400000</v>
      </c>
    </row>
    <row r="66" spans="2:12">
      <c r="B66" s="71" t="s">
        <v>170</v>
      </c>
      <c r="C66" s="76">
        <f>SUM(C67:C70)</f>
        <v>0</v>
      </c>
      <c r="D66" s="76">
        <f t="shared" ref="D66:K66" si="19">SUM(D67:D70)</f>
        <v>0</v>
      </c>
      <c r="E66" s="76">
        <f t="shared" si="19"/>
        <v>16900000</v>
      </c>
      <c r="F66" s="76">
        <f>SUM(F67:F70)</f>
        <v>21419600</v>
      </c>
      <c r="G66" s="76">
        <f t="shared" si="19"/>
        <v>27556440</v>
      </c>
      <c r="H66" s="76">
        <f t="shared" si="19"/>
        <v>34953554.399999999</v>
      </c>
      <c r="I66" s="76">
        <f t="shared" si="19"/>
        <v>43656559.664000005</v>
      </c>
      <c r="J66" s="76">
        <f t="shared" si="19"/>
        <v>53713809.243840009</v>
      </c>
      <c r="K66" s="76">
        <f t="shared" si="19"/>
        <v>62833218.587136</v>
      </c>
    </row>
    <row r="67" spans="2:12">
      <c r="B67" s="75" t="s">
        <v>63</v>
      </c>
      <c r="C67" s="76"/>
      <c r="D67" s="76"/>
      <c r="E67" s="76">
        <f>WCR!D29</f>
        <v>8800000</v>
      </c>
      <c r="F67" s="76">
        <f>WCR!$D$37*WCR!F28</f>
        <v>9328000</v>
      </c>
      <c r="G67" s="76">
        <f>WCR!$D$37*WCR!G28</f>
        <v>9887680</v>
      </c>
      <c r="H67" s="76">
        <f>WCR!$D$37*WCR!H28</f>
        <v>10480940.800000001</v>
      </c>
      <c r="I67" s="76">
        <f>WCR!$D$37*WCR!I28</f>
        <v>11109797.248000002</v>
      </c>
      <c r="J67" s="76">
        <f>WCR!$D$37*WCR!J28</f>
        <v>11776385.082880003</v>
      </c>
      <c r="K67" s="76">
        <f>WCR!$D$37*WCR!K28</f>
        <v>0</v>
      </c>
    </row>
    <row r="68" spans="2:12">
      <c r="B68" s="75" t="s">
        <v>62</v>
      </c>
      <c r="C68" s="76"/>
      <c r="D68" s="76"/>
      <c r="E68" s="76">
        <f>WCR!D30</f>
        <v>7700000.0000000009</v>
      </c>
      <c r="F68" s="76">
        <f>WCR!$D$39*WCR!F28</f>
        <v>8162000.0000000009</v>
      </c>
      <c r="G68" s="76">
        <f>WCR!$D$39*WCR!G28</f>
        <v>8651720</v>
      </c>
      <c r="H68" s="76">
        <f>WCR!$D$39*WCR!H28</f>
        <v>9170823.2000000011</v>
      </c>
      <c r="I68" s="76">
        <f>WCR!$D$39*WCR!I28</f>
        <v>9721072.592000002</v>
      </c>
      <c r="J68" s="76">
        <f>WCR!$D$39*WCR!J28</f>
        <v>10304336.947520005</v>
      </c>
      <c r="K68" s="76">
        <f>WCR!$D$39*WCR!K28</f>
        <v>0</v>
      </c>
    </row>
    <row r="69" spans="2:12">
      <c r="B69" s="75" t="s">
        <v>171</v>
      </c>
      <c r="C69" s="76">
        <f>C54</f>
        <v>0</v>
      </c>
      <c r="D69" s="76">
        <f t="shared" ref="D69:K69" si="20">D54</f>
        <v>0</v>
      </c>
      <c r="E69" s="76">
        <f t="shared" si="20"/>
        <v>0</v>
      </c>
      <c r="F69" s="76">
        <f t="shared" si="20"/>
        <v>3929600</v>
      </c>
      <c r="G69" s="76">
        <f t="shared" si="20"/>
        <v>9017040</v>
      </c>
      <c r="H69" s="76">
        <f t="shared" si="20"/>
        <v>15301790.399999999</v>
      </c>
      <c r="I69" s="76">
        <f t="shared" si="20"/>
        <v>22825689.823999997</v>
      </c>
      <c r="J69" s="76">
        <f t="shared" si="20"/>
        <v>31633087.213440001</v>
      </c>
      <c r="K69" s="76">
        <f t="shared" si="20"/>
        <v>62833218.587136</v>
      </c>
    </row>
    <row r="70" spans="2:12">
      <c r="B70" s="75" t="s">
        <v>202</v>
      </c>
      <c r="C70" s="76"/>
      <c r="D70" s="76"/>
      <c r="E70" s="76">
        <f>-E50</f>
        <v>400000</v>
      </c>
      <c r="F70" s="76"/>
      <c r="G70" s="76"/>
      <c r="H70" s="76"/>
      <c r="I70" s="76"/>
      <c r="J70" s="76"/>
      <c r="K70" s="76"/>
    </row>
    <row r="71" spans="2:12">
      <c r="B71" s="71" t="s">
        <v>180</v>
      </c>
      <c r="C71" s="76">
        <f>C58+C66</f>
        <v>1200000</v>
      </c>
      <c r="D71" s="76">
        <f t="shared" ref="D71:J71" si="21">D58+D66</f>
        <v>5200000</v>
      </c>
      <c r="E71" s="76">
        <f t="shared" si="21"/>
        <v>36100000</v>
      </c>
      <c r="F71" s="76">
        <f t="shared" si="21"/>
        <v>38219600</v>
      </c>
      <c r="G71" s="76">
        <f t="shared" si="21"/>
        <v>41956440</v>
      </c>
      <c r="H71" s="76">
        <f t="shared" si="21"/>
        <v>46953554.399999999</v>
      </c>
      <c r="I71" s="76">
        <f t="shared" si="21"/>
        <v>53256559.664000005</v>
      </c>
      <c r="J71" s="76">
        <f t="shared" si="21"/>
        <v>60913809.243840009</v>
      </c>
      <c r="K71" s="76">
        <f>K58+K66</f>
        <v>62833218.587136</v>
      </c>
    </row>
    <row r="72" spans="2:12">
      <c r="B72" s="72"/>
      <c r="C72" s="76"/>
      <c r="D72" s="76"/>
      <c r="E72" s="76"/>
      <c r="F72" s="76"/>
      <c r="G72" s="76"/>
      <c r="H72" s="76"/>
      <c r="I72" s="76"/>
      <c r="J72" s="76"/>
      <c r="K72" s="76"/>
    </row>
    <row r="73" spans="2:12">
      <c r="B73" s="71" t="s">
        <v>173</v>
      </c>
      <c r="C73" s="76"/>
      <c r="D73" s="76"/>
      <c r="E73" s="76"/>
      <c r="F73" s="76"/>
      <c r="G73" s="76"/>
      <c r="H73" s="76"/>
      <c r="I73" s="76"/>
      <c r="J73" s="76"/>
      <c r="K73" s="76"/>
    </row>
    <row r="74" spans="2:12">
      <c r="B74" s="77" t="s">
        <v>174</v>
      </c>
      <c r="C74" s="76">
        <f>SUM(C75:C77)</f>
        <v>1200000</v>
      </c>
      <c r="D74" s="76">
        <f t="shared" ref="D74:K74" si="22">SUM(D75:D77)</f>
        <v>1200000</v>
      </c>
      <c r="E74" s="76">
        <f t="shared" si="22"/>
        <v>1200000</v>
      </c>
      <c r="F74" s="76">
        <f t="shared" si="22"/>
        <v>7725600</v>
      </c>
      <c r="G74" s="76">
        <f t="shared" si="22"/>
        <v>15832800</v>
      </c>
      <c r="H74" s="76">
        <f t="shared" si="22"/>
        <v>25162496</v>
      </c>
      <c r="I74" s="76">
        <f t="shared" si="22"/>
        <v>35758037.760000005</v>
      </c>
      <c r="J74" s="76">
        <f t="shared" si="22"/>
        <v>47665376.025600009</v>
      </c>
      <c r="K74" s="76">
        <f t="shared" si="22"/>
        <v>62833218.587136015</v>
      </c>
      <c r="L74" s="46"/>
    </row>
    <row r="75" spans="2:12">
      <c r="B75" s="40" t="s">
        <v>175</v>
      </c>
      <c r="C75" s="76">
        <f>C58</f>
        <v>1200000</v>
      </c>
      <c r="D75" s="76">
        <f>C75</f>
        <v>1200000</v>
      </c>
      <c r="E75" s="76">
        <f t="shared" ref="E75:K75" si="23">D75</f>
        <v>1200000</v>
      </c>
      <c r="F75" s="76">
        <f t="shared" si="23"/>
        <v>1200000</v>
      </c>
      <c r="G75" s="76">
        <f t="shared" si="23"/>
        <v>1200000</v>
      </c>
      <c r="H75" s="76">
        <f t="shared" si="23"/>
        <v>1200000</v>
      </c>
      <c r="I75" s="76">
        <f t="shared" si="23"/>
        <v>1200000</v>
      </c>
      <c r="J75" s="76">
        <f t="shared" si="23"/>
        <v>1200000</v>
      </c>
      <c r="K75" s="76">
        <f t="shared" si="23"/>
        <v>1200000</v>
      </c>
    </row>
    <row r="76" spans="2:12">
      <c r="B76" s="40" t="s">
        <v>213</v>
      </c>
      <c r="C76" s="76"/>
      <c r="D76" s="76"/>
      <c r="E76" s="76"/>
      <c r="F76" s="76"/>
      <c r="G76" s="76"/>
      <c r="H76" s="76"/>
      <c r="I76" s="76"/>
      <c r="J76" s="76"/>
      <c r="K76" s="76">
        <f>Инвестиции!I16-Инвестиции!D16</f>
        <v>300000</v>
      </c>
    </row>
    <row r="77" spans="2:12">
      <c r="B77" s="40" t="s">
        <v>176</v>
      </c>
      <c r="C77" s="76"/>
      <c r="D77" s="76"/>
      <c r="E77" s="76"/>
      <c r="F77" s="76">
        <f>ОФР!D22</f>
        <v>6525600</v>
      </c>
      <c r="G77" s="76">
        <f>F77+ОФР!E22</f>
        <v>14632800</v>
      </c>
      <c r="H77" s="76">
        <f>G77+ОФР!F22</f>
        <v>23962496</v>
      </c>
      <c r="I77" s="76">
        <f>H77+ОФР!G22</f>
        <v>34558037.760000005</v>
      </c>
      <c r="J77" s="76">
        <f>I77+ОФР!H22</f>
        <v>46465376.025600009</v>
      </c>
      <c r="K77" s="76">
        <f>J77+ОФР!I22</f>
        <v>61333218.587136015</v>
      </c>
      <c r="L77" s="46"/>
    </row>
    <row r="78" spans="2:12">
      <c r="B78" s="71" t="s">
        <v>177</v>
      </c>
      <c r="C78" s="76">
        <f>C79</f>
        <v>0</v>
      </c>
      <c r="D78" s="76">
        <f t="shared" ref="D78:K78" si="24">D79</f>
        <v>4000000</v>
      </c>
      <c r="E78" s="76">
        <f t="shared" si="24"/>
        <v>25000000</v>
      </c>
      <c r="F78" s="76">
        <f t="shared" si="24"/>
        <v>20000000</v>
      </c>
      <c r="G78" s="76">
        <f t="shared" si="24"/>
        <v>15000000</v>
      </c>
      <c r="H78" s="76">
        <f t="shared" si="24"/>
        <v>10000000</v>
      </c>
      <c r="I78" s="76">
        <f t="shared" si="24"/>
        <v>5000000</v>
      </c>
      <c r="J78" s="76">
        <f t="shared" si="24"/>
        <v>0</v>
      </c>
      <c r="K78" s="76">
        <f t="shared" si="24"/>
        <v>0</v>
      </c>
    </row>
    <row r="79" spans="2:12">
      <c r="B79" s="75" t="s">
        <v>178</v>
      </c>
      <c r="C79" s="76"/>
      <c r="D79" s="76">
        <f>D49</f>
        <v>4000000</v>
      </c>
      <c r="E79" s="76">
        <f t="shared" ref="E79:K79" si="25">E49</f>
        <v>25000000</v>
      </c>
      <c r="F79" s="76">
        <f t="shared" si="25"/>
        <v>20000000</v>
      </c>
      <c r="G79" s="76">
        <f t="shared" si="25"/>
        <v>15000000</v>
      </c>
      <c r="H79" s="76">
        <f t="shared" si="25"/>
        <v>10000000</v>
      </c>
      <c r="I79" s="76">
        <f t="shared" si="25"/>
        <v>5000000</v>
      </c>
      <c r="J79" s="76">
        <f t="shared" si="25"/>
        <v>0</v>
      </c>
      <c r="K79" s="76">
        <f t="shared" si="25"/>
        <v>0</v>
      </c>
    </row>
    <row r="80" spans="2:12">
      <c r="B80" s="71" t="s">
        <v>179</v>
      </c>
      <c r="C80" s="76">
        <f>SUM(C81:C82)</f>
        <v>0</v>
      </c>
      <c r="D80" s="76">
        <f t="shared" ref="D80:K80" si="26">SUM(D81:D82)</f>
        <v>0</v>
      </c>
      <c r="E80" s="76">
        <f t="shared" si="26"/>
        <v>9900000</v>
      </c>
      <c r="F80" s="76">
        <f t="shared" si="26"/>
        <v>10494000</v>
      </c>
      <c r="G80" s="76">
        <f t="shared" si="26"/>
        <v>11123640</v>
      </c>
      <c r="H80" s="76">
        <f t="shared" si="26"/>
        <v>11791058.4</v>
      </c>
      <c r="I80" s="76">
        <f t="shared" si="26"/>
        <v>12498521.904000001</v>
      </c>
      <c r="J80" s="76">
        <f t="shared" si="26"/>
        <v>13248433.218240004</v>
      </c>
      <c r="K80" s="76">
        <f t="shared" si="26"/>
        <v>0</v>
      </c>
    </row>
    <row r="81" spans="2:11">
      <c r="B81" s="75" t="s">
        <v>178</v>
      </c>
      <c r="C81" s="76"/>
      <c r="D81" s="76"/>
      <c r="E81" s="76"/>
      <c r="F81" s="76"/>
      <c r="G81" s="76"/>
      <c r="H81" s="76"/>
      <c r="I81" s="76"/>
      <c r="J81" s="76"/>
      <c r="K81" s="76"/>
    </row>
    <row r="82" spans="2:11">
      <c r="B82" s="75" t="s">
        <v>188</v>
      </c>
      <c r="C82" s="76"/>
      <c r="D82" s="76"/>
      <c r="E82" s="76">
        <f>WCR!D31</f>
        <v>9900000</v>
      </c>
      <c r="F82" s="76">
        <f>WCR!$D$41*WCR!F28</f>
        <v>10494000</v>
      </c>
      <c r="G82" s="76">
        <f>WCR!$D$41*WCR!G28</f>
        <v>11123640</v>
      </c>
      <c r="H82" s="76">
        <f>WCR!$D$41*WCR!H28</f>
        <v>11791058.4</v>
      </c>
      <c r="I82" s="76">
        <f>WCR!$D$41*WCR!I28</f>
        <v>12498521.904000001</v>
      </c>
      <c r="J82" s="76">
        <f>WCR!$D$41*WCR!J28</f>
        <v>13248433.218240004</v>
      </c>
      <c r="K82" s="76">
        <f>WCR!$D$41*WCR!K28</f>
        <v>0</v>
      </c>
    </row>
    <row r="83" spans="2:11">
      <c r="B83" s="71" t="s">
        <v>181</v>
      </c>
      <c r="C83" s="76">
        <f>C71</f>
        <v>1200000</v>
      </c>
      <c r="D83" s="76">
        <f t="shared" ref="D83:E83" si="27">D71</f>
        <v>5200000</v>
      </c>
      <c r="E83" s="76">
        <f t="shared" si="27"/>
        <v>36100000</v>
      </c>
      <c r="F83" s="76">
        <f t="shared" ref="F83:K83" si="28">F71</f>
        <v>38219600</v>
      </c>
      <c r="G83" s="76">
        <f t="shared" si="28"/>
        <v>41956440</v>
      </c>
      <c r="H83" s="76">
        <f t="shared" si="28"/>
        <v>46953554.399999999</v>
      </c>
      <c r="I83" s="76">
        <f t="shared" si="28"/>
        <v>53256559.664000005</v>
      </c>
      <c r="J83" s="76">
        <f t="shared" si="28"/>
        <v>60913809.243840009</v>
      </c>
      <c r="K83" s="76">
        <f t="shared" si="28"/>
        <v>62833218.587136</v>
      </c>
    </row>
    <row r="84" spans="2:11">
      <c r="B84" t="s">
        <v>190</v>
      </c>
      <c r="C84">
        <f>C25/C71</f>
        <v>0</v>
      </c>
      <c r="D84">
        <f t="shared" ref="D84:K84" si="29">D25/D71</f>
        <v>0</v>
      </c>
      <c r="E84">
        <f t="shared" si="29"/>
        <v>0</v>
      </c>
      <c r="F84" s="2">
        <f t="shared" si="29"/>
        <v>1.4390522140472428</v>
      </c>
      <c r="G84" s="2">
        <f t="shared" si="29"/>
        <v>1.3895363858325445</v>
      </c>
      <c r="H84" s="2">
        <f t="shared" si="29"/>
        <v>1.3161516905310156</v>
      </c>
      <c r="I84" s="2">
        <f t="shared" si="29"/>
        <v>1.2300058511717986</v>
      </c>
      <c r="J84" s="2">
        <f t="shared" si="29"/>
        <v>1.1399095486221269</v>
      </c>
      <c r="K84" s="2">
        <f t="shared" si="29"/>
        <v>1.1713932283435313</v>
      </c>
    </row>
    <row r="85" spans="2:11">
      <c r="B85" t="s">
        <v>191</v>
      </c>
      <c r="F85" s="2">
        <f>ОФР!D22/СF!F74</f>
        <v>0.84467225846536187</v>
      </c>
      <c r="G85" s="2">
        <f>ОФР!E22/СF!G74</f>
        <v>0.5120509322419281</v>
      </c>
      <c r="H85" s="2">
        <f>ОФР!F22/СF!H74</f>
        <v>0.37077784334272723</v>
      </c>
      <c r="I85" s="2">
        <f>ОФР!G22/СF!I74</f>
        <v>0.29631216989911252</v>
      </c>
      <c r="J85" s="2">
        <f>ОФР!H22/СF!J74</f>
        <v>0.24981106325910102</v>
      </c>
      <c r="K85" s="2">
        <f>ОФР!I22/СF!K74</f>
        <v>0.2366239211654825</v>
      </c>
    </row>
    <row r="86" spans="2:11">
      <c r="B86" t="s">
        <v>192</v>
      </c>
      <c r="E86" s="46"/>
      <c r="F86" s="2">
        <f>ОФР!D14/СF!F71</f>
        <v>0.30874211137740842</v>
      </c>
      <c r="G86" s="2">
        <f>ОФР!E14/СF!G71</f>
        <v>0.30155084654465442</v>
      </c>
      <c r="H86" s="2">
        <f>ОФР!F14/СF!H71</f>
        <v>0.28869209526765882</v>
      </c>
      <c r="I86" s="2">
        <f>ОФР!G14/СF!I71</f>
        <v>0.27250027586385778</v>
      </c>
      <c r="J86" s="2">
        <f>ОФР!H14/СF!J71</f>
        <v>0.25490398687503207</v>
      </c>
      <c r="K86" s="2">
        <f>ОФР!I14/СF!K71</f>
        <v>0.29606637412855052</v>
      </c>
    </row>
    <row r="87" spans="2:11">
      <c r="G87" s="46"/>
      <c r="H87" s="46"/>
    </row>
    <row r="88" spans="2:11">
      <c r="E88" s="46"/>
      <c r="H88" s="46"/>
      <c r="K88" s="46">
        <f>K74</f>
        <v>62833218.587136015</v>
      </c>
    </row>
    <row r="89" spans="2:11">
      <c r="D89" s="46"/>
      <c r="K89" s="46"/>
    </row>
    <row r="90" spans="2:11">
      <c r="D90" s="46"/>
    </row>
    <row r="91" spans="2:11">
      <c r="D91" s="46"/>
    </row>
    <row r="92" spans="2:11">
      <c r="E92" s="46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I26"/>
  <sheetViews>
    <sheetView workbookViewId="0">
      <selection activeCell="B13" sqref="B13"/>
    </sheetView>
  </sheetViews>
  <sheetFormatPr defaultRowHeight="15"/>
  <cols>
    <col min="2" max="2" width="39.28515625" customWidth="1"/>
    <col min="3" max="3" width="22.42578125" customWidth="1"/>
  </cols>
  <sheetData>
    <row r="2" spans="2:9">
      <c r="B2" s="105" t="s">
        <v>1</v>
      </c>
      <c r="C2" s="105"/>
    </row>
    <row r="4" spans="2:9">
      <c r="B4" s="8" t="s">
        <v>2</v>
      </c>
      <c r="C4" s="9" t="s">
        <v>4</v>
      </c>
      <c r="D4" s="4"/>
    </row>
    <row r="5" spans="2:9">
      <c r="B5" s="8" t="s">
        <v>3</v>
      </c>
      <c r="C5" s="9" t="s">
        <v>5</v>
      </c>
      <c r="D5" s="5" t="s">
        <v>131</v>
      </c>
    </row>
    <row r="6" spans="2:9">
      <c r="B6" s="8" t="s">
        <v>6</v>
      </c>
      <c r="C6" s="9" t="s">
        <v>4</v>
      </c>
      <c r="D6" s="6"/>
    </row>
    <row r="7" spans="2:9">
      <c r="B7" s="39" t="s">
        <v>129</v>
      </c>
      <c r="C7" s="50" t="s">
        <v>130</v>
      </c>
      <c r="D7">
        <v>6</v>
      </c>
    </row>
    <row r="9" spans="2:9">
      <c r="B9" s="105" t="s">
        <v>7</v>
      </c>
      <c r="C9" s="105"/>
    </row>
    <row r="11" spans="2:9">
      <c r="D11">
        <v>2022</v>
      </c>
      <c r="E11">
        <v>2023</v>
      </c>
      <c r="F11">
        <v>2024</v>
      </c>
      <c r="G11">
        <v>2025</v>
      </c>
      <c r="H11">
        <v>2026</v>
      </c>
      <c r="I11">
        <v>2027</v>
      </c>
    </row>
    <row r="12" spans="2:9">
      <c r="B12" s="8" t="s">
        <v>8</v>
      </c>
      <c r="C12" s="9" t="s">
        <v>10</v>
      </c>
      <c r="D12" s="6"/>
      <c r="E12" s="6"/>
      <c r="F12" s="6"/>
      <c r="G12" s="6"/>
      <c r="H12" s="6"/>
      <c r="I12" s="6"/>
    </row>
    <row r="13" spans="2:9">
      <c r="B13" s="8" t="s">
        <v>141</v>
      </c>
      <c r="C13" s="9" t="s">
        <v>9</v>
      </c>
      <c r="D13" s="37">
        <v>0.06</v>
      </c>
      <c r="E13" s="37">
        <v>0.06</v>
      </c>
      <c r="F13" s="37">
        <v>0.06</v>
      </c>
      <c r="G13" s="37">
        <v>0.06</v>
      </c>
      <c r="H13" s="37">
        <v>0.06</v>
      </c>
      <c r="I13" s="37">
        <v>0.06</v>
      </c>
    </row>
    <row r="14" spans="2:9">
      <c r="B14" s="8" t="s">
        <v>140</v>
      </c>
      <c r="C14" s="9" t="s">
        <v>9</v>
      </c>
      <c r="D14" s="6"/>
      <c r="E14" s="6"/>
      <c r="F14" s="6"/>
      <c r="G14" s="6"/>
      <c r="H14" s="6"/>
      <c r="I14" s="6"/>
    </row>
    <row r="15" spans="2:9">
      <c r="B15" s="8" t="s">
        <v>11</v>
      </c>
      <c r="C15" s="9" t="s">
        <v>9</v>
      </c>
      <c r="D15" s="6"/>
      <c r="E15" s="6"/>
      <c r="F15" s="6"/>
      <c r="G15" s="6"/>
      <c r="H15" s="6"/>
      <c r="I15" s="6"/>
    </row>
    <row r="16" spans="2:9">
      <c r="B16" s="8" t="s">
        <v>12</v>
      </c>
      <c r="C16" s="9" t="s">
        <v>9</v>
      </c>
      <c r="D16" s="6"/>
      <c r="E16" s="6"/>
      <c r="F16" s="6"/>
      <c r="G16" s="6"/>
      <c r="H16" s="6"/>
      <c r="I16" s="6"/>
    </row>
    <row r="17" spans="2:9">
      <c r="B17" s="8" t="s">
        <v>13</v>
      </c>
      <c r="C17" s="9" t="s">
        <v>9</v>
      </c>
      <c r="D17" s="6"/>
      <c r="E17" s="6"/>
      <c r="F17" s="6"/>
      <c r="G17" s="6"/>
      <c r="H17" s="6"/>
      <c r="I17" s="6"/>
    </row>
    <row r="18" spans="2:9">
      <c r="C18" s="2"/>
      <c r="D18" s="2"/>
      <c r="E18" s="2"/>
      <c r="F18" s="2"/>
    </row>
    <row r="19" spans="2:9">
      <c r="C19" s="2"/>
      <c r="D19">
        <v>2022</v>
      </c>
      <c r="E19">
        <v>2023</v>
      </c>
      <c r="F19">
        <v>2024</v>
      </c>
      <c r="G19">
        <v>2025</v>
      </c>
      <c r="H19">
        <v>2026</v>
      </c>
      <c r="I19">
        <v>2027</v>
      </c>
    </row>
    <row r="20" spans="2:9">
      <c r="B20" s="105" t="s">
        <v>46</v>
      </c>
      <c r="C20" s="105"/>
      <c r="D20" s="2"/>
      <c r="E20" s="2"/>
      <c r="F20" s="2"/>
    </row>
    <row r="21" spans="2:9">
      <c r="C21" s="2"/>
      <c r="D21" s="2"/>
      <c r="E21" s="2"/>
      <c r="F21" s="2"/>
    </row>
    <row r="22" spans="2:9">
      <c r="B22" s="8" t="s">
        <v>79</v>
      </c>
      <c r="C22" s="9" t="s">
        <v>9</v>
      </c>
      <c r="D22" s="54">
        <v>0.2</v>
      </c>
      <c r="E22" s="54">
        <v>0.2</v>
      </c>
      <c r="F22" s="54">
        <v>0.2</v>
      </c>
      <c r="G22" s="54">
        <v>0.2</v>
      </c>
      <c r="H22" s="54">
        <v>0.2</v>
      </c>
      <c r="I22" s="54">
        <v>0.2</v>
      </c>
    </row>
    <row r="23" spans="2:9">
      <c r="B23" s="8" t="s">
        <v>120</v>
      </c>
      <c r="C23" s="9" t="s">
        <v>9</v>
      </c>
      <c r="D23" s="55">
        <v>1.4999999999999999E-2</v>
      </c>
      <c r="E23" s="55">
        <v>1.4999999999999999E-2</v>
      </c>
      <c r="F23" s="55">
        <v>1.4999999999999999E-2</v>
      </c>
      <c r="G23" s="55">
        <v>1.4999999999999999E-2</v>
      </c>
      <c r="H23" s="55">
        <v>1.4999999999999999E-2</v>
      </c>
      <c r="I23" s="55">
        <v>1.4999999999999999E-2</v>
      </c>
    </row>
    <row r="24" spans="2:9">
      <c r="B24" s="8"/>
      <c r="C24" s="9" t="s">
        <v>9</v>
      </c>
      <c r="D24" s="8"/>
      <c r="E24" s="8"/>
      <c r="F24" s="8"/>
      <c r="G24" s="8"/>
      <c r="H24" s="8"/>
      <c r="I24" s="8"/>
    </row>
    <row r="25" spans="2:9">
      <c r="B25" s="8"/>
      <c r="C25" s="8"/>
      <c r="D25" s="8"/>
      <c r="E25" s="8"/>
      <c r="F25" s="8"/>
      <c r="G25" s="8"/>
      <c r="H25" s="8"/>
      <c r="I25" s="8"/>
    </row>
    <row r="26" spans="2:9">
      <c r="C26" s="9"/>
    </row>
  </sheetData>
  <mergeCells count="3">
    <mergeCell ref="B2:C2"/>
    <mergeCell ref="B9:C9"/>
    <mergeCell ref="B20:C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M93"/>
  <sheetViews>
    <sheetView topLeftCell="C25" workbookViewId="0">
      <selection activeCell="J30" sqref="J30"/>
    </sheetView>
  </sheetViews>
  <sheetFormatPr defaultRowHeight="15"/>
  <cols>
    <col min="3" max="3" width="36.7109375" customWidth="1"/>
    <col min="4" max="4" width="13.140625" bestFit="1" customWidth="1"/>
    <col min="5" max="5" width="13.7109375" customWidth="1"/>
    <col min="6" max="6" width="13.28515625" customWidth="1"/>
    <col min="7" max="7" width="2" customWidth="1"/>
    <col min="8" max="8" width="16" customWidth="1"/>
    <col min="9" max="9" width="15.42578125" customWidth="1"/>
    <col min="10" max="10" width="17.42578125" customWidth="1"/>
    <col min="11" max="11" width="14.7109375" customWidth="1"/>
    <col min="12" max="12" width="15.7109375" customWidth="1"/>
    <col min="13" max="13" width="16.42578125" customWidth="1"/>
  </cols>
  <sheetData>
    <row r="3" spans="2:13" ht="43.9" customHeight="1">
      <c r="B3" s="7"/>
      <c r="C3" s="18" t="s">
        <v>55</v>
      </c>
      <c r="D3" s="10">
        <v>2019</v>
      </c>
      <c r="E3" s="10">
        <v>2020</v>
      </c>
      <c r="F3" s="10">
        <v>2021</v>
      </c>
      <c r="H3" s="10" t="s">
        <v>97</v>
      </c>
      <c r="I3" s="19" t="s">
        <v>98</v>
      </c>
      <c r="J3" s="19" t="s">
        <v>99</v>
      </c>
      <c r="K3" s="10"/>
      <c r="L3" s="10"/>
      <c r="M3" s="10"/>
    </row>
    <row r="4" spans="2:13">
      <c r="B4" s="11" t="s">
        <v>125</v>
      </c>
      <c r="C4" s="10" t="s">
        <v>91</v>
      </c>
      <c r="D4" s="16"/>
      <c r="H4" s="42">
        <v>1200000</v>
      </c>
      <c r="I4" s="10" t="s">
        <v>103</v>
      </c>
      <c r="J4" s="10" t="s">
        <v>101</v>
      </c>
      <c r="K4" s="10"/>
      <c r="L4" s="10"/>
      <c r="M4" s="10"/>
    </row>
    <row r="5" spans="2:13">
      <c r="B5" s="11" t="s">
        <v>125</v>
      </c>
      <c r="C5" s="10" t="s">
        <v>92</v>
      </c>
      <c r="E5" s="16"/>
      <c r="H5" s="42">
        <v>4000000</v>
      </c>
      <c r="I5" s="10" t="s">
        <v>103</v>
      </c>
      <c r="J5" s="10" t="s">
        <v>100</v>
      </c>
      <c r="K5" s="10"/>
      <c r="L5" s="10"/>
      <c r="M5" s="10"/>
    </row>
    <row r="6" spans="2:13">
      <c r="B6" s="11" t="s">
        <v>125</v>
      </c>
      <c r="C6" s="10" t="s">
        <v>57</v>
      </c>
      <c r="F6" s="16"/>
      <c r="H6" s="42">
        <v>4000000</v>
      </c>
      <c r="I6" s="10" t="s">
        <v>103</v>
      </c>
      <c r="J6" s="10" t="s">
        <v>100</v>
      </c>
      <c r="K6" s="10"/>
      <c r="L6" s="10"/>
      <c r="M6" s="10"/>
    </row>
    <row r="7" spans="2:13">
      <c r="B7" s="11" t="s">
        <v>125</v>
      </c>
      <c r="C7" s="10" t="s">
        <v>95</v>
      </c>
      <c r="F7" s="16"/>
      <c r="H7" s="42">
        <v>9500000</v>
      </c>
      <c r="I7" s="10" t="s">
        <v>103</v>
      </c>
      <c r="J7" s="10" t="s">
        <v>100</v>
      </c>
      <c r="K7" s="10"/>
      <c r="L7" s="10"/>
      <c r="M7" s="10"/>
    </row>
    <row r="8" spans="2:13" ht="33.75" customHeight="1">
      <c r="B8" s="11" t="s">
        <v>125</v>
      </c>
      <c r="C8" s="19" t="s">
        <v>113</v>
      </c>
      <c r="F8" s="16"/>
      <c r="H8" s="42">
        <v>500000</v>
      </c>
      <c r="I8" s="10" t="s">
        <v>103</v>
      </c>
      <c r="J8" s="10" t="s">
        <v>100</v>
      </c>
      <c r="K8" s="10"/>
      <c r="L8" s="10"/>
      <c r="M8" s="10"/>
    </row>
    <row r="9" spans="2:13">
      <c r="B9" s="11" t="s">
        <v>125</v>
      </c>
      <c r="C9" s="10" t="s">
        <v>56</v>
      </c>
      <c r="F9" s="16"/>
      <c r="H9" s="10"/>
      <c r="I9" s="10"/>
      <c r="J9" s="10"/>
      <c r="K9" s="10"/>
      <c r="L9" s="10"/>
      <c r="M9" s="10"/>
    </row>
    <row r="10" spans="2:13" ht="30">
      <c r="B10" s="11" t="s">
        <v>125</v>
      </c>
      <c r="C10" s="19" t="s">
        <v>96</v>
      </c>
      <c r="F10" s="30"/>
      <c r="H10" s="42">
        <f>WCR!D13*Выручка!J4</f>
        <v>6600000</v>
      </c>
      <c r="I10" s="10" t="s">
        <v>104</v>
      </c>
      <c r="J10" s="10" t="s">
        <v>101</v>
      </c>
      <c r="K10" s="10"/>
      <c r="L10" s="10"/>
      <c r="M10" s="10"/>
    </row>
    <row r="11" spans="2:13">
      <c r="B11" s="11" t="s">
        <v>125</v>
      </c>
      <c r="C11" s="10" t="s">
        <v>58</v>
      </c>
      <c r="H11" s="10"/>
      <c r="I11" s="10"/>
      <c r="J11" s="10"/>
      <c r="K11" s="10"/>
      <c r="L11" s="10"/>
      <c r="M11" s="10"/>
    </row>
    <row r="12" spans="2:13">
      <c r="H12" s="10"/>
      <c r="I12" s="10"/>
      <c r="J12" s="10"/>
      <c r="K12" s="10"/>
      <c r="L12" s="10"/>
      <c r="M12" s="10"/>
    </row>
    <row r="13" spans="2:13">
      <c r="B13" s="41"/>
      <c r="C13" s="109" t="s">
        <v>118</v>
      </c>
      <c r="D13" s="109"/>
      <c r="E13" s="109"/>
      <c r="F13" s="109"/>
      <c r="G13" s="109"/>
      <c r="H13" s="109"/>
      <c r="I13" s="109"/>
      <c r="J13" s="109"/>
      <c r="K13" s="109"/>
      <c r="L13" s="10"/>
      <c r="M13" s="10"/>
    </row>
    <row r="14" spans="2:13">
      <c r="F14" s="33"/>
      <c r="G14" s="33"/>
      <c r="H14" s="29"/>
      <c r="I14" s="29"/>
      <c r="J14" s="10"/>
      <c r="K14" s="10"/>
      <c r="L14" s="10"/>
      <c r="M14" s="10"/>
    </row>
    <row r="15" spans="2:13" ht="77.25" customHeight="1">
      <c r="C15" s="43"/>
      <c r="D15" s="43" t="s">
        <v>123</v>
      </c>
      <c r="E15" s="47" t="s">
        <v>117</v>
      </c>
      <c r="F15" s="47" t="s">
        <v>128</v>
      </c>
      <c r="G15" s="33"/>
      <c r="H15" s="47" t="s">
        <v>124</v>
      </c>
      <c r="I15" s="51" t="s">
        <v>112</v>
      </c>
      <c r="J15" s="47" t="s">
        <v>132</v>
      </c>
    </row>
    <row r="16" spans="2:13">
      <c r="C16" s="40" t="s">
        <v>126</v>
      </c>
      <c r="D16" s="44">
        <f>H4</f>
        <v>1200000</v>
      </c>
      <c r="E16" s="43"/>
      <c r="F16" s="43"/>
      <c r="G16" s="33"/>
      <c r="H16" s="45">
        <v>1500000</v>
      </c>
      <c r="I16" s="44">
        <v>1500000</v>
      </c>
      <c r="J16" s="52">
        <f>I16-H16</f>
        <v>0</v>
      </c>
    </row>
    <row r="17" spans="3:10">
      <c r="C17" s="40" t="s">
        <v>121</v>
      </c>
      <c r="D17" s="44">
        <f>SUM(H5:H6)</f>
        <v>8000000</v>
      </c>
      <c r="E17" s="43">
        <v>20</v>
      </c>
      <c r="F17" s="44">
        <f>D17/E17</f>
        <v>400000</v>
      </c>
      <c r="G17" s="33"/>
      <c r="H17" s="45">
        <f>D17-F17*Инфо!D7</f>
        <v>5600000</v>
      </c>
      <c r="I17" s="48">
        <v>4600000</v>
      </c>
      <c r="J17" s="52">
        <f t="shared" ref="J17:J18" si="0">I17-H17</f>
        <v>-1000000</v>
      </c>
    </row>
    <row r="18" spans="3:10">
      <c r="C18" s="40" t="s">
        <v>122</v>
      </c>
      <c r="D18" s="44">
        <f>SUM(H7:H8)</f>
        <v>10000000</v>
      </c>
      <c r="E18" s="43">
        <v>5</v>
      </c>
      <c r="F18" s="44">
        <f>D18/E18</f>
        <v>2000000</v>
      </c>
      <c r="H18" s="45">
        <v>0</v>
      </c>
      <c r="I18" s="44">
        <v>1000000</v>
      </c>
      <c r="J18" s="52">
        <f t="shared" si="0"/>
        <v>1000000</v>
      </c>
    </row>
    <row r="19" spans="3:10">
      <c r="C19" s="40" t="s">
        <v>58</v>
      </c>
      <c r="D19" s="45">
        <f>SUM(D16:D18)</f>
        <v>19200000</v>
      </c>
      <c r="E19" s="40"/>
      <c r="F19" s="43"/>
      <c r="H19" s="40"/>
      <c r="I19" s="40"/>
      <c r="J19" s="52">
        <f>SUM(J16:J18)</f>
        <v>0</v>
      </c>
    </row>
    <row r="20" spans="3:10">
      <c r="D20" s="46"/>
    </row>
    <row r="21" spans="3:10">
      <c r="C21" s="49" t="s">
        <v>127</v>
      </c>
      <c r="D21" s="46"/>
    </row>
    <row r="23" spans="3:10" ht="60" customHeight="1">
      <c r="C23" s="107" t="s">
        <v>94</v>
      </c>
      <c r="D23" s="108"/>
      <c r="E23" s="108"/>
      <c r="F23" s="108"/>
      <c r="G23" s="108"/>
      <c r="H23" s="108"/>
      <c r="I23" s="108"/>
    </row>
    <row r="24" spans="3:10" ht="48.6" customHeight="1">
      <c r="C24" s="108"/>
      <c r="D24" s="108"/>
      <c r="E24" s="108"/>
      <c r="F24" s="108"/>
      <c r="G24" s="108"/>
      <c r="H24" s="108"/>
      <c r="I24" s="108"/>
    </row>
    <row r="25" spans="3:10" ht="48.6" customHeight="1">
      <c r="C25" s="108"/>
      <c r="D25" s="108"/>
      <c r="E25" s="108"/>
      <c r="F25" s="108"/>
      <c r="G25" s="108"/>
      <c r="H25" s="108"/>
      <c r="I25" s="108"/>
    </row>
    <row r="26" spans="3:10" ht="48.6" customHeight="1">
      <c r="C26" s="108"/>
      <c r="D26" s="108"/>
      <c r="E26" s="108"/>
      <c r="F26" s="108"/>
      <c r="G26" s="108"/>
      <c r="H26" s="108"/>
      <c r="I26" s="108"/>
    </row>
    <row r="27" spans="3:10" ht="48.6" customHeight="1">
      <c r="C27" s="108"/>
      <c r="D27" s="108"/>
      <c r="E27" s="108"/>
      <c r="F27" s="108"/>
      <c r="G27" s="108"/>
      <c r="H27" s="108"/>
      <c r="I27" s="108"/>
    </row>
    <row r="28" spans="3:10" ht="48.6" customHeight="1">
      <c r="C28" s="108"/>
      <c r="D28" s="108"/>
      <c r="E28" s="108"/>
      <c r="F28" s="108"/>
      <c r="G28" s="108"/>
      <c r="H28" s="108"/>
      <c r="I28" s="108"/>
    </row>
    <row r="29" spans="3:10" ht="48.6" customHeight="1">
      <c r="C29" s="108"/>
      <c r="D29" s="108"/>
      <c r="E29" s="108"/>
      <c r="F29" s="108"/>
      <c r="G29" s="108"/>
      <c r="H29" s="108"/>
      <c r="I29" s="108"/>
    </row>
    <row r="30" spans="3:10" ht="48.6" customHeight="1">
      <c r="C30" s="108"/>
      <c r="D30" s="108"/>
      <c r="E30" s="108"/>
      <c r="F30" s="108"/>
      <c r="G30" s="108"/>
      <c r="H30" s="108"/>
      <c r="I30" s="108"/>
    </row>
    <row r="31" spans="3:10" ht="48.6" customHeight="1">
      <c r="C31" s="108"/>
      <c r="D31" s="108"/>
      <c r="E31" s="108"/>
      <c r="F31" s="108"/>
      <c r="G31" s="108"/>
      <c r="H31" s="108"/>
      <c r="I31" s="108"/>
    </row>
    <row r="32" spans="3:10" ht="48.6" customHeight="1">
      <c r="C32" s="108"/>
      <c r="D32" s="108"/>
      <c r="E32" s="108"/>
      <c r="F32" s="108"/>
      <c r="G32" s="108"/>
      <c r="H32" s="108"/>
      <c r="I32" s="108"/>
    </row>
    <row r="80" spans="3:11">
      <c r="C80" s="106" t="s">
        <v>93</v>
      </c>
      <c r="D80" s="106"/>
      <c r="E80" s="106"/>
      <c r="F80" s="106"/>
      <c r="G80" s="106"/>
      <c r="H80" s="106"/>
      <c r="I80" s="106"/>
      <c r="J80" s="106"/>
      <c r="K80" s="27"/>
    </row>
    <row r="81" spans="3:11">
      <c r="C81" s="106"/>
      <c r="D81" s="106"/>
      <c r="E81" s="106"/>
      <c r="F81" s="106"/>
      <c r="G81" s="106"/>
      <c r="H81" s="106"/>
      <c r="I81" s="106"/>
      <c r="J81" s="106"/>
      <c r="K81" s="27"/>
    </row>
    <row r="82" spans="3:11">
      <c r="C82" s="106"/>
      <c r="D82" s="106"/>
      <c r="E82" s="106"/>
      <c r="F82" s="106"/>
      <c r="G82" s="106"/>
      <c r="H82" s="106"/>
      <c r="I82" s="106"/>
      <c r="J82" s="106"/>
      <c r="K82" s="27"/>
    </row>
    <row r="83" spans="3:11">
      <c r="C83" s="106"/>
      <c r="D83" s="106"/>
      <c r="E83" s="106"/>
      <c r="F83" s="106"/>
      <c r="G83" s="106"/>
      <c r="H83" s="106"/>
      <c r="I83" s="106"/>
      <c r="J83" s="106"/>
      <c r="K83" s="27"/>
    </row>
    <row r="84" spans="3:11">
      <c r="C84" s="106"/>
      <c r="D84" s="106"/>
      <c r="E84" s="106"/>
      <c r="F84" s="106"/>
      <c r="G84" s="106"/>
      <c r="H84" s="106"/>
      <c r="I84" s="106"/>
      <c r="J84" s="106"/>
      <c r="K84" s="27"/>
    </row>
    <row r="85" spans="3:11">
      <c r="C85" s="106"/>
      <c r="D85" s="106"/>
      <c r="E85" s="106"/>
      <c r="F85" s="106"/>
      <c r="G85" s="106"/>
      <c r="H85" s="106"/>
      <c r="I85" s="106"/>
      <c r="J85" s="106"/>
      <c r="K85" s="27"/>
    </row>
    <row r="86" spans="3:11">
      <c r="C86" s="106"/>
      <c r="D86" s="106"/>
      <c r="E86" s="106"/>
      <c r="F86" s="106"/>
      <c r="G86" s="106"/>
      <c r="H86" s="106"/>
      <c r="I86" s="106"/>
      <c r="J86" s="106"/>
      <c r="K86" s="27"/>
    </row>
    <row r="87" spans="3:11">
      <c r="C87" s="106"/>
      <c r="D87" s="106"/>
      <c r="E87" s="106"/>
      <c r="F87" s="106"/>
      <c r="G87" s="106"/>
      <c r="H87" s="106"/>
      <c r="I87" s="106"/>
      <c r="J87" s="106"/>
      <c r="K87" s="27"/>
    </row>
    <row r="88" spans="3:11">
      <c r="C88" s="106"/>
      <c r="D88" s="106"/>
      <c r="E88" s="106"/>
      <c r="F88" s="106"/>
      <c r="G88" s="106"/>
      <c r="H88" s="106"/>
      <c r="I88" s="106"/>
      <c r="J88" s="106"/>
      <c r="K88" s="27"/>
    </row>
    <row r="89" spans="3:11">
      <c r="C89" s="106"/>
      <c r="D89" s="106"/>
      <c r="E89" s="106"/>
      <c r="F89" s="106"/>
      <c r="G89" s="106"/>
      <c r="H89" s="106"/>
      <c r="I89" s="106"/>
      <c r="J89" s="106"/>
      <c r="K89" s="27"/>
    </row>
    <row r="90" spans="3:11">
      <c r="C90" s="106"/>
      <c r="D90" s="106"/>
      <c r="E90" s="106"/>
      <c r="F90" s="106"/>
      <c r="G90" s="106"/>
      <c r="H90" s="106"/>
      <c r="I90" s="106"/>
      <c r="J90" s="106"/>
      <c r="K90" s="27"/>
    </row>
    <row r="91" spans="3:11">
      <c r="C91" s="106"/>
      <c r="D91" s="106"/>
      <c r="E91" s="106"/>
      <c r="F91" s="106"/>
      <c r="G91" s="106"/>
      <c r="H91" s="106"/>
      <c r="I91" s="106"/>
      <c r="J91" s="106"/>
      <c r="K91" s="27"/>
    </row>
    <row r="92" spans="3:11">
      <c r="C92" s="106"/>
      <c r="D92" s="106"/>
      <c r="E92" s="106"/>
      <c r="F92" s="106"/>
      <c r="G92" s="106"/>
      <c r="H92" s="106"/>
      <c r="I92" s="106"/>
      <c r="J92" s="106"/>
      <c r="K92" s="27"/>
    </row>
    <row r="93" spans="3:11">
      <c r="C93" s="106"/>
      <c r="D93" s="106"/>
      <c r="E93" s="106"/>
      <c r="F93" s="106"/>
      <c r="G93" s="106"/>
      <c r="H93" s="106"/>
      <c r="I93" s="106"/>
      <c r="J93" s="106"/>
      <c r="K93" s="27"/>
    </row>
  </sheetData>
  <mergeCells count="3">
    <mergeCell ref="C80:J93"/>
    <mergeCell ref="C23:I32"/>
    <mergeCell ref="C13:K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O10"/>
  <sheetViews>
    <sheetView topLeftCell="B1" workbookViewId="0">
      <selection activeCell="L6" sqref="L6"/>
    </sheetView>
  </sheetViews>
  <sheetFormatPr defaultRowHeight="15"/>
  <cols>
    <col min="1" max="1" width="19.7109375" customWidth="1"/>
    <col min="3" max="3" width="5.42578125" customWidth="1"/>
    <col min="4" max="4" width="11.28515625" customWidth="1"/>
    <col min="10" max="14" width="13.140625" customWidth="1"/>
    <col min="15" max="15" width="14" customWidth="1"/>
  </cols>
  <sheetData>
    <row r="2" spans="1:15">
      <c r="E2" s="105" t="s">
        <v>21</v>
      </c>
      <c r="F2" s="105"/>
      <c r="G2" s="105"/>
      <c r="H2" s="105"/>
      <c r="I2" s="105"/>
      <c r="J2" s="112" t="s">
        <v>22</v>
      </c>
      <c r="K2" s="112"/>
      <c r="L2" s="112"/>
      <c r="M2" s="112"/>
      <c r="N2" s="112"/>
      <c r="O2" s="112"/>
    </row>
    <row r="3" spans="1:15">
      <c r="E3">
        <v>2014</v>
      </c>
      <c r="F3">
        <v>2015</v>
      </c>
      <c r="G3">
        <v>2016</v>
      </c>
      <c r="H3">
        <v>2017</v>
      </c>
      <c r="I3">
        <v>2018</v>
      </c>
      <c r="J3">
        <v>2022</v>
      </c>
      <c r="K3">
        <v>2023</v>
      </c>
      <c r="L3">
        <v>2024</v>
      </c>
      <c r="M3">
        <v>2025</v>
      </c>
      <c r="N3">
        <v>2026</v>
      </c>
      <c r="O3">
        <v>2027</v>
      </c>
    </row>
    <row r="4" spans="1:15">
      <c r="A4" s="10" t="s">
        <v>26</v>
      </c>
      <c r="B4" s="13" t="s">
        <v>10</v>
      </c>
      <c r="C4" s="110" t="s">
        <v>18</v>
      </c>
      <c r="D4" s="111"/>
      <c r="E4" s="17"/>
      <c r="F4" s="17"/>
      <c r="G4" s="17"/>
      <c r="H4" s="17"/>
      <c r="I4" s="17"/>
      <c r="J4" s="32">
        <f>J5*J6</f>
        <v>55000000</v>
      </c>
      <c r="K4" s="32">
        <f t="shared" ref="K4:O4" si="0">K5*K6</f>
        <v>58300000</v>
      </c>
      <c r="L4" s="32">
        <f t="shared" si="0"/>
        <v>61798000</v>
      </c>
      <c r="M4" s="32">
        <f t="shared" si="0"/>
        <v>65505880</v>
      </c>
      <c r="N4" s="32">
        <f t="shared" si="0"/>
        <v>69436232.800000012</v>
      </c>
      <c r="O4" s="32">
        <f t="shared" si="0"/>
        <v>73602406.768000022</v>
      </c>
    </row>
    <row r="5" spans="1:15">
      <c r="B5" s="13" t="s">
        <v>23</v>
      </c>
      <c r="C5" s="10"/>
      <c r="D5" s="10" t="s">
        <v>19</v>
      </c>
      <c r="E5" s="17"/>
      <c r="F5" s="17"/>
      <c r="G5" s="17"/>
      <c r="H5" s="17"/>
      <c r="I5" s="17"/>
      <c r="J5" s="31">
        <v>25000</v>
      </c>
      <c r="K5" s="31">
        <v>25000</v>
      </c>
      <c r="L5" s="31">
        <v>25000</v>
      </c>
      <c r="M5" s="31">
        <v>25000</v>
      </c>
      <c r="N5" s="31">
        <v>25000</v>
      </c>
      <c r="O5" s="31">
        <v>25000</v>
      </c>
    </row>
    <row r="6" spans="1:15">
      <c r="B6" s="13" t="s">
        <v>10</v>
      </c>
      <c r="C6" s="10"/>
      <c r="D6" s="10" t="s">
        <v>20</v>
      </c>
      <c r="E6" s="17"/>
      <c r="F6" s="17"/>
      <c r="G6" s="17"/>
      <c r="H6" s="17"/>
      <c r="I6" s="17"/>
      <c r="J6" s="31">
        <v>2200</v>
      </c>
      <c r="K6" s="31">
        <f>J6*(1+Инфо!D13)</f>
        <v>2332</v>
      </c>
      <c r="L6" s="31">
        <f>K6*(1+Инфо!E13)</f>
        <v>2471.92</v>
      </c>
      <c r="M6" s="31">
        <f>L6*(1+Инфо!F13)</f>
        <v>2620.2352000000001</v>
      </c>
      <c r="N6" s="31">
        <f>M6*(1+Инфо!G13)</f>
        <v>2777.4493120000002</v>
      </c>
      <c r="O6" s="31">
        <f>N6*(1+Инфо!H13)</f>
        <v>2944.0962707200006</v>
      </c>
    </row>
    <row r="8" spans="1:15">
      <c r="B8" s="107" t="s">
        <v>102</v>
      </c>
      <c r="C8" s="107"/>
      <c r="D8" s="107"/>
      <c r="E8" s="107"/>
      <c r="F8" s="107"/>
      <c r="G8" s="107"/>
      <c r="H8" s="107"/>
      <c r="I8" s="107"/>
      <c r="J8" s="107"/>
      <c r="K8" s="107"/>
    </row>
    <row r="9" spans="1:15">
      <c r="B9" s="107"/>
      <c r="C9" s="107"/>
      <c r="D9" s="107"/>
      <c r="E9" s="107"/>
      <c r="F9" s="107"/>
      <c r="G9" s="107"/>
      <c r="H9" s="107"/>
      <c r="I9" s="107"/>
      <c r="J9" s="107"/>
      <c r="K9" s="107"/>
    </row>
    <row r="10" spans="1:15">
      <c r="B10" s="107"/>
      <c r="C10" s="107"/>
      <c r="D10" s="107"/>
      <c r="E10" s="107"/>
      <c r="F10" s="107"/>
      <c r="G10" s="107"/>
      <c r="H10" s="107"/>
      <c r="I10" s="107"/>
      <c r="J10" s="107"/>
      <c r="K10" s="107"/>
    </row>
  </sheetData>
  <mergeCells count="4">
    <mergeCell ref="C4:D4"/>
    <mergeCell ref="E2:I2"/>
    <mergeCell ref="B8:K10"/>
    <mergeCell ref="J2: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J29"/>
  <sheetViews>
    <sheetView topLeftCell="A7" workbookViewId="0">
      <selection activeCell="C31" sqref="C31"/>
    </sheetView>
  </sheetViews>
  <sheetFormatPr defaultRowHeight="15"/>
  <cols>
    <col min="1" max="1" width="17.42578125" customWidth="1"/>
    <col min="2" max="2" width="17.5703125" customWidth="1"/>
    <col min="3" max="3" width="41.140625" bestFit="1" customWidth="1"/>
    <col min="4" max="4" width="14.42578125" customWidth="1"/>
  </cols>
  <sheetData>
    <row r="3" spans="1:10">
      <c r="A3" s="10" t="s">
        <v>15</v>
      </c>
      <c r="B3" s="105" t="s">
        <v>16</v>
      </c>
      <c r="C3" s="105"/>
      <c r="D3" s="10" t="s">
        <v>31</v>
      </c>
      <c r="E3" s="10"/>
      <c r="F3" s="10"/>
      <c r="G3" s="10"/>
      <c r="H3" s="10"/>
      <c r="I3" s="10"/>
      <c r="J3" s="10"/>
    </row>
    <row r="4" spans="1:10">
      <c r="B4" s="12" t="s">
        <v>10</v>
      </c>
      <c r="C4" s="10" t="s">
        <v>17</v>
      </c>
      <c r="D4" s="16"/>
      <c r="E4" s="10"/>
      <c r="F4" s="10"/>
      <c r="G4" s="10"/>
      <c r="H4" s="10"/>
      <c r="I4" s="10"/>
      <c r="J4" s="10"/>
    </row>
    <row r="5" spans="1:10">
      <c r="B5" s="12" t="s">
        <v>10</v>
      </c>
      <c r="C5" s="10" t="s">
        <v>24</v>
      </c>
      <c r="D5" s="16"/>
      <c r="E5" s="10"/>
      <c r="F5" s="10"/>
      <c r="G5" s="10"/>
      <c r="H5" s="10"/>
      <c r="I5" s="10"/>
      <c r="J5" s="10"/>
    </row>
    <row r="6" spans="1:10">
      <c r="B6" s="12" t="s">
        <v>10</v>
      </c>
      <c r="C6" s="10" t="s">
        <v>52</v>
      </c>
      <c r="D6" s="16"/>
      <c r="E6" s="10"/>
      <c r="F6" s="10"/>
      <c r="G6" s="10"/>
      <c r="H6" s="10"/>
      <c r="I6" s="10"/>
      <c r="J6" s="10"/>
    </row>
    <row r="7" spans="1:10">
      <c r="B7" s="12" t="s">
        <v>10</v>
      </c>
      <c r="C7" s="10" t="s">
        <v>25</v>
      </c>
      <c r="D7" s="16"/>
      <c r="E7" s="10"/>
      <c r="F7" s="10"/>
      <c r="G7" s="10"/>
      <c r="H7" s="10"/>
      <c r="I7" s="10"/>
      <c r="J7" s="10"/>
    </row>
    <row r="8" spans="1:10">
      <c r="B8" s="10"/>
      <c r="C8" s="10"/>
      <c r="D8" s="34">
        <v>0.65</v>
      </c>
      <c r="E8" s="10" t="s">
        <v>106</v>
      </c>
      <c r="F8" s="10"/>
      <c r="G8" s="10"/>
      <c r="H8" s="10"/>
      <c r="I8" s="10"/>
      <c r="J8" s="10"/>
    </row>
    <row r="9" spans="1:10">
      <c r="B9" s="10"/>
      <c r="C9" s="10"/>
      <c r="D9" s="10"/>
      <c r="E9" s="10"/>
      <c r="F9" s="10"/>
      <c r="G9" s="10"/>
      <c r="H9" s="10"/>
      <c r="I9" s="10"/>
      <c r="J9" s="10"/>
    </row>
    <row r="12" spans="1:10">
      <c r="B12" s="105" t="s">
        <v>27</v>
      </c>
      <c r="C12" s="105"/>
      <c r="D12" s="10" t="s">
        <v>32</v>
      </c>
    </row>
    <row r="13" spans="1:10">
      <c r="B13" s="11" t="s">
        <v>10</v>
      </c>
      <c r="C13" s="10" t="s">
        <v>28</v>
      </c>
      <c r="D13" s="16"/>
    </row>
    <row r="14" spans="1:10" ht="30">
      <c r="B14" s="11" t="s">
        <v>10</v>
      </c>
      <c r="C14" s="19" t="s">
        <v>53</v>
      </c>
      <c r="D14" s="16"/>
    </row>
    <row r="15" spans="1:10">
      <c r="B15" s="11" t="s">
        <v>10</v>
      </c>
      <c r="C15" s="10" t="s">
        <v>30</v>
      </c>
      <c r="D15" s="16"/>
    </row>
    <row r="16" spans="1:10">
      <c r="B16" s="11" t="s">
        <v>10</v>
      </c>
      <c r="C16" s="10" t="s">
        <v>29</v>
      </c>
      <c r="D16" s="16"/>
    </row>
    <row r="17" spans="2:6" ht="30">
      <c r="B17" s="11" t="s">
        <v>10</v>
      </c>
      <c r="C17" s="19" t="s">
        <v>54</v>
      </c>
      <c r="D17" s="16"/>
    </row>
    <row r="18" spans="2:6">
      <c r="B18" s="11" t="s">
        <v>10</v>
      </c>
      <c r="C18" s="10" t="s">
        <v>39</v>
      </c>
      <c r="D18" s="16"/>
    </row>
    <row r="19" spans="2:6">
      <c r="D19" s="35">
        <v>5000000</v>
      </c>
      <c r="E19" t="s">
        <v>108</v>
      </c>
    </row>
    <row r="20" spans="2:6">
      <c r="D20" s="35">
        <v>50000</v>
      </c>
    </row>
    <row r="21" spans="2:6">
      <c r="D21" t="s">
        <v>107</v>
      </c>
      <c r="E21" t="s">
        <v>111</v>
      </c>
    </row>
    <row r="23" spans="2:6" ht="24" customHeight="1">
      <c r="B23" s="107" t="s">
        <v>105</v>
      </c>
      <c r="C23" s="107"/>
      <c r="D23" s="107"/>
      <c r="E23" s="107"/>
      <c r="F23" s="107"/>
    </row>
    <row r="24" spans="2:6" ht="19.5" customHeight="1">
      <c r="B24" s="107"/>
      <c r="C24" s="107"/>
      <c r="D24" s="107"/>
      <c r="E24" s="107"/>
      <c r="F24" s="107"/>
    </row>
    <row r="25" spans="2:6" ht="19.5" customHeight="1">
      <c r="B25" s="107"/>
      <c r="C25" s="107"/>
      <c r="D25" s="107"/>
      <c r="E25" s="107"/>
      <c r="F25" s="107"/>
    </row>
    <row r="26" spans="2:6" ht="19.5" customHeight="1">
      <c r="B26" s="107"/>
      <c r="C26" s="107"/>
      <c r="D26" s="107"/>
      <c r="E26" s="107"/>
      <c r="F26" s="107"/>
    </row>
    <row r="27" spans="2:6" ht="19.5" customHeight="1">
      <c r="B27" s="107"/>
      <c r="C27" s="107"/>
      <c r="D27" s="107"/>
      <c r="E27" s="107"/>
      <c r="F27" s="107"/>
    </row>
    <row r="28" spans="2:6" ht="19.5" customHeight="1">
      <c r="B28" s="107"/>
      <c r="C28" s="107"/>
      <c r="D28" s="107"/>
      <c r="E28" s="107"/>
      <c r="F28" s="107"/>
    </row>
    <row r="29" spans="2:6" ht="19.5" customHeight="1">
      <c r="B29" s="107"/>
      <c r="C29" s="107"/>
      <c r="D29" s="107"/>
      <c r="E29" s="107"/>
      <c r="F29" s="107"/>
    </row>
  </sheetData>
  <mergeCells count="3">
    <mergeCell ref="B3:C3"/>
    <mergeCell ref="B12:C12"/>
    <mergeCell ref="B23:F2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4:D15"/>
  <sheetViews>
    <sheetView workbookViewId="0">
      <selection activeCell="B15" sqref="B15"/>
    </sheetView>
  </sheetViews>
  <sheetFormatPr defaultRowHeight="15"/>
  <cols>
    <col min="2" max="2" width="18" customWidth="1"/>
    <col min="3" max="3" width="31.7109375" customWidth="1"/>
    <col min="4" max="4" width="14.7109375" customWidth="1"/>
  </cols>
  <sheetData>
    <row r="4" spans="2:4">
      <c r="B4" s="10" t="s">
        <v>15</v>
      </c>
      <c r="C4" s="18" t="s">
        <v>33</v>
      </c>
      <c r="D4" s="14" t="s">
        <v>34</v>
      </c>
    </row>
    <row r="5" spans="2:4">
      <c r="B5" s="12" t="s">
        <v>9</v>
      </c>
      <c r="C5" s="10" t="s">
        <v>51</v>
      </c>
      <c r="D5" s="20"/>
    </row>
    <row r="9" spans="2:4">
      <c r="C9" s="15" t="s">
        <v>35</v>
      </c>
      <c r="D9" s="14" t="s">
        <v>32</v>
      </c>
    </row>
    <row r="10" spans="2:4">
      <c r="B10" s="11" t="s">
        <v>10</v>
      </c>
      <c r="C10" s="10" t="s">
        <v>36</v>
      </c>
      <c r="D10" s="16"/>
    </row>
    <row r="11" spans="2:4">
      <c r="B11" s="11" t="s">
        <v>10</v>
      </c>
      <c r="C11" s="10" t="s">
        <v>37</v>
      </c>
      <c r="D11" s="16"/>
    </row>
    <row r="12" spans="2:4">
      <c r="B12" s="11" t="s">
        <v>10</v>
      </c>
      <c r="C12" s="10" t="s">
        <v>38</v>
      </c>
      <c r="D12" s="16"/>
    </row>
    <row r="13" spans="2:4" ht="28.15" customHeight="1">
      <c r="B13" s="11" t="s">
        <v>10</v>
      </c>
      <c r="C13" s="19" t="s">
        <v>49</v>
      </c>
      <c r="D13" s="16"/>
    </row>
    <row r="14" spans="2:4" ht="30">
      <c r="B14" s="11" t="s">
        <v>10</v>
      </c>
      <c r="C14" s="19" t="s">
        <v>50</v>
      </c>
      <c r="D14" s="16"/>
    </row>
    <row r="15" spans="2:4">
      <c r="B15" s="11" t="s">
        <v>10</v>
      </c>
      <c r="C15" s="10" t="s">
        <v>39</v>
      </c>
      <c r="D15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C5:E14"/>
  <sheetViews>
    <sheetView workbookViewId="0">
      <selection activeCell="C18" sqref="C18"/>
    </sheetView>
  </sheetViews>
  <sheetFormatPr defaultRowHeight="15"/>
  <cols>
    <col min="4" max="4" width="32.5703125" customWidth="1"/>
    <col min="5" max="5" width="17.140625" customWidth="1"/>
  </cols>
  <sheetData>
    <row r="5" spans="3:5">
      <c r="D5" s="18" t="s">
        <v>48</v>
      </c>
      <c r="E5" s="14" t="s">
        <v>32</v>
      </c>
    </row>
    <row r="6" spans="3:5">
      <c r="C6" s="11" t="s">
        <v>10</v>
      </c>
      <c r="D6" s="19" t="s">
        <v>40</v>
      </c>
      <c r="E6" s="16"/>
    </row>
    <row r="7" spans="3:5">
      <c r="C7" s="11" t="s">
        <v>10</v>
      </c>
      <c r="D7" s="19" t="s">
        <v>30</v>
      </c>
      <c r="E7" s="16"/>
    </row>
    <row r="8" spans="3:5">
      <c r="C8" s="11" t="s">
        <v>10</v>
      </c>
      <c r="D8" s="19" t="s">
        <v>41</v>
      </c>
      <c r="E8" s="16"/>
    </row>
    <row r="9" spans="3:5" ht="30">
      <c r="C9" s="11" t="s">
        <v>10</v>
      </c>
      <c r="D9" s="19" t="s">
        <v>42</v>
      </c>
      <c r="E9" s="16"/>
    </row>
    <row r="10" spans="3:5">
      <c r="C10" s="11" t="s">
        <v>10</v>
      </c>
      <c r="D10" s="19" t="s">
        <v>43</v>
      </c>
      <c r="E10" s="16"/>
    </row>
    <row r="11" spans="3:5">
      <c r="C11" s="11" t="s">
        <v>10</v>
      </c>
      <c r="D11" s="19" t="s">
        <v>44</v>
      </c>
      <c r="E11" s="16"/>
    </row>
    <row r="12" spans="3:5">
      <c r="C12" s="11" t="s">
        <v>10</v>
      </c>
      <c r="D12" s="19" t="s">
        <v>45</v>
      </c>
      <c r="E12" s="16"/>
    </row>
    <row r="13" spans="3:5">
      <c r="C13" s="11" t="s">
        <v>10</v>
      </c>
      <c r="D13" s="19" t="s">
        <v>46</v>
      </c>
      <c r="E13" s="16"/>
    </row>
    <row r="14" spans="3:5">
      <c r="C14" s="11" t="s">
        <v>10</v>
      </c>
      <c r="D14" s="19" t="s">
        <v>47</v>
      </c>
      <c r="E14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3:K41"/>
  <sheetViews>
    <sheetView topLeftCell="B1" workbookViewId="0">
      <selection activeCell="D13" sqref="D13"/>
    </sheetView>
  </sheetViews>
  <sheetFormatPr defaultRowHeight="15"/>
  <cols>
    <col min="2" max="2" width="12.28515625" customWidth="1"/>
    <col min="3" max="3" width="70.7109375" customWidth="1"/>
    <col min="4" max="4" width="15.28515625" customWidth="1"/>
    <col min="5" max="5" width="15.5703125" customWidth="1"/>
    <col min="6" max="8" width="14.28515625" customWidth="1"/>
    <col min="9" max="9" width="15" customWidth="1"/>
    <col min="10" max="10" width="14.28515625" customWidth="1"/>
    <col min="11" max="11" width="12.42578125" customWidth="1"/>
  </cols>
  <sheetData>
    <row r="3" spans="2:11">
      <c r="C3" s="18" t="s">
        <v>189</v>
      </c>
    </row>
    <row r="5" spans="2:11">
      <c r="B5" t="s">
        <v>59</v>
      </c>
      <c r="C5" s="18" t="s">
        <v>60</v>
      </c>
    </row>
    <row r="6" spans="2:11">
      <c r="D6" s="10">
        <v>2013</v>
      </c>
      <c r="E6" s="10">
        <v>2014</v>
      </c>
      <c r="F6" s="10">
        <v>2015</v>
      </c>
      <c r="G6" s="10">
        <v>2016</v>
      </c>
      <c r="H6" s="10">
        <v>2017</v>
      </c>
    </row>
    <row r="7" spans="2:11">
      <c r="B7" s="11" t="s">
        <v>10</v>
      </c>
      <c r="C7" s="10" t="s">
        <v>62</v>
      </c>
      <c r="D7" s="92">
        <v>193972.60273972599</v>
      </c>
      <c r="E7" s="92">
        <v>232767.12328767119</v>
      </c>
      <c r="F7" s="92">
        <v>279320.54794520541</v>
      </c>
      <c r="G7" s="92">
        <v>335184.65753424651</v>
      </c>
      <c r="H7" s="92">
        <v>402221.58904109581</v>
      </c>
    </row>
    <row r="8" spans="2:11">
      <c r="B8" s="11" t="s">
        <v>10</v>
      </c>
      <c r="C8" s="10" t="s">
        <v>63</v>
      </c>
      <c r="D8" s="92">
        <v>161095.89041095888</v>
      </c>
      <c r="E8" s="92">
        <v>193315.06849315064</v>
      </c>
      <c r="F8" s="92">
        <v>231978.08219178079</v>
      </c>
      <c r="G8" s="92">
        <v>278373.69863013696</v>
      </c>
      <c r="H8" s="92">
        <v>334048.43835616432</v>
      </c>
    </row>
    <row r="9" spans="2:11">
      <c r="B9" s="11" t="s">
        <v>10</v>
      </c>
      <c r="C9" s="10" t="s">
        <v>64</v>
      </c>
      <c r="D9" s="92">
        <v>213698.63013698629</v>
      </c>
      <c r="E9" s="92">
        <v>256438.35616438356</v>
      </c>
      <c r="F9" s="92">
        <v>307726.02739726024</v>
      </c>
      <c r="G9" s="92">
        <v>369271.23287671228</v>
      </c>
      <c r="H9" s="92">
        <v>443125.47945205477</v>
      </c>
    </row>
    <row r="10" spans="2:11">
      <c r="B10" s="11" t="s">
        <v>10</v>
      </c>
      <c r="C10" s="10" t="s">
        <v>148</v>
      </c>
      <c r="D10" s="93">
        <f>D7+D8-D9</f>
        <v>141369.86301369857</v>
      </c>
      <c r="E10" s="93">
        <f>E7+E8-E9</f>
        <v>169643.83561643827</v>
      </c>
      <c r="F10" s="93">
        <f>F7+F8-F9</f>
        <v>203572.60273972596</v>
      </c>
      <c r="G10" s="93">
        <f>G7+G8-G9</f>
        <v>244287.12328767119</v>
      </c>
      <c r="H10" s="93">
        <f>H7+H8-H9</f>
        <v>293144.5479452053</v>
      </c>
    </row>
    <row r="11" spans="2:11">
      <c r="B11" s="11" t="s">
        <v>10</v>
      </c>
      <c r="C11" s="10" t="s">
        <v>61</v>
      </c>
      <c r="D11" s="94">
        <v>1200000</v>
      </c>
      <c r="E11" s="94">
        <v>1440000</v>
      </c>
      <c r="F11" s="94">
        <v>1728000</v>
      </c>
      <c r="G11" s="94">
        <v>2073600</v>
      </c>
      <c r="H11" s="94">
        <v>2488320</v>
      </c>
    </row>
    <row r="12" spans="2:11">
      <c r="B12" s="11" t="s">
        <v>65</v>
      </c>
      <c r="C12" s="10" t="s">
        <v>149</v>
      </c>
      <c r="D12" s="95">
        <f>D10/D11</f>
        <v>0.11780821917808214</v>
      </c>
      <c r="E12" s="95">
        <f t="shared" ref="E12:H12" si="0">E10/E11</f>
        <v>0.11780821917808214</v>
      </c>
      <c r="F12" s="95">
        <f t="shared" si="0"/>
        <v>0.11780821917808215</v>
      </c>
      <c r="G12" s="95">
        <f t="shared" si="0"/>
        <v>0.11780821917808217</v>
      </c>
      <c r="H12" s="95">
        <f t="shared" si="0"/>
        <v>0.11780821917808212</v>
      </c>
    </row>
    <row r="13" spans="2:11">
      <c r="B13" s="11" t="s">
        <v>65</v>
      </c>
      <c r="C13" s="10" t="s">
        <v>150</v>
      </c>
      <c r="D13" s="96">
        <v>0.12</v>
      </c>
      <c r="E13" s="10"/>
      <c r="F13" s="10"/>
      <c r="G13" s="10"/>
      <c r="H13" s="10"/>
    </row>
    <row r="14" spans="2:11" ht="30.75" customHeight="1">
      <c r="B14" s="11"/>
      <c r="C14" s="10"/>
      <c r="D14" s="56">
        <f>Инвестиции!F3</f>
        <v>2021</v>
      </c>
      <c r="E14" s="58" t="s">
        <v>135</v>
      </c>
      <c r="F14" s="10">
        <v>2022</v>
      </c>
      <c r="G14" s="10">
        <v>2023</v>
      </c>
      <c r="H14" s="10">
        <v>2024</v>
      </c>
      <c r="I14" s="10">
        <v>2025</v>
      </c>
      <c r="J14" s="10">
        <v>2026</v>
      </c>
      <c r="K14" s="10">
        <v>2027</v>
      </c>
    </row>
    <row r="15" spans="2:11">
      <c r="B15" s="11"/>
      <c r="C15" s="10" t="s">
        <v>151</v>
      </c>
      <c r="D15" s="35">
        <f>D13*ОФР!D5</f>
        <v>6600000</v>
      </c>
      <c r="E15" s="57"/>
      <c r="F15" s="35">
        <f>$D$13*ОФР!E5</f>
        <v>6996000</v>
      </c>
      <c r="G15" s="35">
        <f>$D$13*ОФР!F5</f>
        <v>7415760</v>
      </c>
      <c r="H15" s="35">
        <f>$D$13*ОФР!G5</f>
        <v>7860705.5999999996</v>
      </c>
      <c r="I15" s="35">
        <f>$D$13*ОФР!H5</f>
        <v>8332347.9360000007</v>
      </c>
      <c r="J15" s="35">
        <f>$D$13*ОФР!I5</f>
        <v>8832288.8121600021</v>
      </c>
      <c r="K15" s="35">
        <f>$D$13*ОФР!J5</f>
        <v>0</v>
      </c>
    </row>
    <row r="16" spans="2:11">
      <c r="B16" s="11"/>
      <c r="C16" s="10" t="s">
        <v>134</v>
      </c>
      <c r="D16" s="57"/>
      <c r="E16" s="57"/>
      <c r="F16" s="35">
        <f>D15-F15</f>
        <v>-396000</v>
      </c>
      <c r="G16" s="35">
        <f>F15-G15</f>
        <v>-419760</v>
      </c>
      <c r="H16" s="35">
        <f>G15-H15</f>
        <v>-444945.59999999963</v>
      </c>
      <c r="I16" s="35">
        <f t="shared" ref="I16:J16" si="1">H15-I15</f>
        <v>-471642.33600000106</v>
      </c>
      <c r="J16" s="35">
        <f t="shared" si="1"/>
        <v>-499940.87616000138</v>
      </c>
      <c r="K16" s="35">
        <f>J15-K15</f>
        <v>8832288.8121600021</v>
      </c>
    </row>
    <row r="17" spans="1:10">
      <c r="B17" s="11"/>
      <c r="C17" s="10"/>
      <c r="D17" s="34"/>
      <c r="E17" s="10"/>
      <c r="F17" s="10"/>
      <c r="G17" s="10"/>
      <c r="H17" s="10"/>
    </row>
    <row r="18" spans="1:10">
      <c r="H18" s="46"/>
    </row>
    <row r="19" spans="1:10">
      <c r="C19" s="107" t="s">
        <v>152</v>
      </c>
      <c r="D19" s="107"/>
    </row>
    <row r="20" spans="1:10" ht="28.15" customHeight="1">
      <c r="C20" s="107"/>
      <c r="D20" s="107"/>
    </row>
    <row r="21" spans="1:10">
      <c r="C21" s="28"/>
      <c r="D21" s="28"/>
    </row>
    <row r="22" spans="1:10" ht="30">
      <c r="B22" t="s">
        <v>66</v>
      </c>
      <c r="C22" s="18" t="s">
        <v>67</v>
      </c>
      <c r="D22" s="62" t="s">
        <v>145</v>
      </c>
      <c r="E22">
        <v>365</v>
      </c>
    </row>
    <row r="23" spans="1:10" ht="30">
      <c r="D23" s="62" t="s">
        <v>143</v>
      </c>
      <c r="E23" s="62" t="s">
        <v>144</v>
      </c>
    </row>
    <row r="24" spans="1:10" ht="30">
      <c r="A24" t="s">
        <v>69</v>
      </c>
      <c r="B24" s="11" t="s">
        <v>68</v>
      </c>
      <c r="C24" s="19" t="s">
        <v>146</v>
      </c>
      <c r="D24" s="16">
        <v>60</v>
      </c>
      <c r="E24" s="64">
        <f>E22/D24</f>
        <v>6.083333333333333</v>
      </c>
    </row>
    <row r="25" spans="1:10" ht="30">
      <c r="A25" t="s">
        <v>71</v>
      </c>
      <c r="B25" s="11" t="s">
        <v>68</v>
      </c>
      <c r="C25" s="19" t="s">
        <v>210</v>
      </c>
      <c r="D25" s="16">
        <v>50</v>
      </c>
      <c r="E25" s="16">
        <f>E22/D25</f>
        <v>7.3</v>
      </c>
    </row>
    <row r="26" spans="1:10">
      <c r="A26" t="s">
        <v>70</v>
      </c>
      <c r="B26" s="11" t="s">
        <v>68</v>
      </c>
      <c r="C26" s="19" t="s">
        <v>147</v>
      </c>
      <c r="D26" s="16">
        <v>65</v>
      </c>
      <c r="E26" s="65">
        <f>E22/D26</f>
        <v>5.615384615384615</v>
      </c>
    </row>
    <row r="27" spans="1:10">
      <c r="D27" s="10">
        <v>2021</v>
      </c>
      <c r="E27" s="10">
        <v>2022</v>
      </c>
      <c r="F27" s="10">
        <v>2023</v>
      </c>
      <c r="G27" s="10">
        <v>2024</v>
      </c>
      <c r="H27" s="10">
        <v>2025</v>
      </c>
      <c r="I27" s="10">
        <v>2026</v>
      </c>
      <c r="J27" s="10">
        <v>2027</v>
      </c>
    </row>
    <row r="28" spans="1:10">
      <c r="C28" s="22" t="s">
        <v>207</v>
      </c>
      <c r="D28" s="10"/>
      <c r="E28" s="35">
        <f>Выручка!J4</f>
        <v>55000000</v>
      </c>
      <c r="F28" s="35">
        <f>Выручка!K4</f>
        <v>58300000</v>
      </c>
      <c r="G28" s="35">
        <f>Выручка!L4</f>
        <v>61798000</v>
      </c>
      <c r="H28" s="35">
        <f>Выручка!M4</f>
        <v>65505880</v>
      </c>
      <c r="I28" s="35">
        <f>Выручка!N4</f>
        <v>69436232.800000012</v>
      </c>
      <c r="J28" s="35">
        <f>Выручка!O4</f>
        <v>73602406.768000022</v>
      </c>
    </row>
    <row r="29" spans="1:10">
      <c r="B29" s="11" t="s">
        <v>10</v>
      </c>
      <c r="C29" s="19" t="s">
        <v>72</v>
      </c>
      <c r="D29" s="67">
        <f>$D$37*E28</f>
        <v>8800000</v>
      </c>
      <c r="E29" s="67">
        <f t="shared" ref="E29:J29" si="2">$D$37*F28</f>
        <v>9328000</v>
      </c>
      <c r="F29" s="67">
        <f t="shared" si="2"/>
        <v>9887680</v>
      </c>
      <c r="G29" s="67">
        <f t="shared" si="2"/>
        <v>10480940.800000001</v>
      </c>
      <c r="H29" s="67">
        <f t="shared" si="2"/>
        <v>11109797.248000002</v>
      </c>
      <c r="I29" s="67">
        <f t="shared" si="2"/>
        <v>11776385.082880003</v>
      </c>
      <c r="J29" s="67">
        <f t="shared" si="2"/>
        <v>0</v>
      </c>
    </row>
    <row r="30" spans="1:10">
      <c r="B30" s="11" t="s">
        <v>10</v>
      </c>
      <c r="C30" s="19" t="s">
        <v>208</v>
      </c>
      <c r="D30" s="67">
        <f>$D$39*E28</f>
        <v>7700000.0000000009</v>
      </c>
      <c r="E30" s="67">
        <f t="shared" ref="E30:J30" si="3">$D$39*F28</f>
        <v>8162000.0000000009</v>
      </c>
      <c r="F30" s="67">
        <f t="shared" si="3"/>
        <v>8651720</v>
      </c>
      <c r="G30" s="67">
        <f t="shared" si="3"/>
        <v>9170823.2000000011</v>
      </c>
      <c r="H30" s="67">
        <f t="shared" si="3"/>
        <v>9721072.592000002</v>
      </c>
      <c r="I30" s="67">
        <f t="shared" si="3"/>
        <v>10304336.947520005</v>
      </c>
      <c r="J30" s="66">
        <f t="shared" si="3"/>
        <v>0</v>
      </c>
    </row>
    <row r="31" spans="1:10" ht="17.45" customHeight="1">
      <c r="B31" s="11" t="s">
        <v>10</v>
      </c>
      <c r="C31" s="19" t="s">
        <v>209</v>
      </c>
      <c r="D31" s="67">
        <f>$D$41*E28</f>
        <v>9900000</v>
      </c>
      <c r="E31" s="67">
        <f t="shared" ref="E31:J31" si="4">$D$41*F28</f>
        <v>10494000</v>
      </c>
      <c r="F31" s="67">
        <f t="shared" si="4"/>
        <v>11123640</v>
      </c>
      <c r="G31" s="67">
        <f t="shared" si="4"/>
        <v>11791058.4</v>
      </c>
      <c r="H31" s="67">
        <f t="shared" si="4"/>
        <v>12498521.904000001</v>
      </c>
      <c r="I31" s="67">
        <f t="shared" si="4"/>
        <v>13248433.218240004</v>
      </c>
      <c r="J31" s="67">
        <f t="shared" si="4"/>
        <v>0</v>
      </c>
    </row>
    <row r="32" spans="1:10">
      <c r="C32" s="22" t="s">
        <v>153</v>
      </c>
      <c r="D32" s="67">
        <f>D29+D30-D31</f>
        <v>6600000</v>
      </c>
      <c r="E32" s="67">
        <f>E29+E30-E31</f>
        <v>6996000</v>
      </c>
      <c r="F32" s="67">
        <f t="shared" ref="F32:J32" si="5">F29+F30-F31</f>
        <v>7415760</v>
      </c>
      <c r="G32" s="67">
        <f t="shared" si="5"/>
        <v>7860705.5999999996</v>
      </c>
      <c r="H32" s="67">
        <f t="shared" si="5"/>
        <v>8332347.9360000025</v>
      </c>
      <c r="I32" s="67">
        <f t="shared" si="5"/>
        <v>8832288.8121600039</v>
      </c>
      <c r="J32" s="67">
        <f t="shared" si="5"/>
        <v>0</v>
      </c>
    </row>
    <row r="33" spans="3:6">
      <c r="C33" s="22" t="s">
        <v>149</v>
      </c>
      <c r="D33" s="16"/>
    </row>
    <row r="35" spans="3:6">
      <c r="C35" s="18" t="s">
        <v>154</v>
      </c>
    </row>
    <row r="36" spans="3:6">
      <c r="D36" s="68" t="s">
        <v>158</v>
      </c>
    </row>
    <row r="37" spans="3:6">
      <c r="C37" s="22" t="s">
        <v>155</v>
      </c>
      <c r="D37" s="63">
        <v>0.16</v>
      </c>
      <c r="F37" s="2">
        <f>1/E24</f>
        <v>0.16438356164383564</v>
      </c>
    </row>
    <row r="38" spans="3:6">
      <c r="F38" s="2"/>
    </row>
    <row r="39" spans="3:6">
      <c r="C39" s="22" t="s">
        <v>156</v>
      </c>
      <c r="D39" s="63">
        <v>0.14000000000000001</v>
      </c>
      <c r="F39" s="2">
        <f>1/E25</f>
        <v>0.13698630136986301</v>
      </c>
    </row>
    <row r="40" spans="3:6">
      <c r="F40" s="2"/>
    </row>
    <row r="41" spans="3:6">
      <c r="C41" s="22" t="s">
        <v>157</v>
      </c>
      <c r="D41" s="63">
        <v>0.18</v>
      </c>
      <c r="F41" s="2">
        <f>1/E26</f>
        <v>0.17808219178082194</v>
      </c>
    </row>
  </sheetData>
  <mergeCells count="1">
    <mergeCell ref="C19:D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J26"/>
  <sheetViews>
    <sheetView topLeftCell="D1" workbookViewId="0">
      <selection activeCell="I22" sqref="I22"/>
    </sheetView>
  </sheetViews>
  <sheetFormatPr defaultRowHeight="15"/>
  <cols>
    <col min="1" max="1" width="21.7109375" customWidth="1"/>
    <col min="2" max="2" width="1.85546875" customWidth="1"/>
    <col min="3" max="3" width="52.85546875" customWidth="1"/>
    <col min="4" max="4" width="15.28515625" customWidth="1"/>
    <col min="5" max="6" width="13" customWidth="1"/>
    <col min="7" max="7" width="14" customWidth="1"/>
    <col min="8" max="8" width="13.85546875" customWidth="1"/>
    <col min="9" max="9" width="15.7109375" customWidth="1"/>
  </cols>
  <sheetData>
    <row r="2" spans="1:10">
      <c r="C2" s="1" t="s">
        <v>73</v>
      </c>
    </row>
    <row r="3" spans="1:10">
      <c r="D3">
        <v>1</v>
      </c>
      <c r="E3">
        <v>2</v>
      </c>
      <c r="F3">
        <v>3</v>
      </c>
      <c r="G3">
        <v>4</v>
      </c>
      <c r="H3">
        <v>5</v>
      </c>
      <c r="I3">
        <v>6</v>
      </c>
    </row>
    <row r="4" spans="1:10">
      <c r="C4" s="10"/>
      <c r="D4">
        <v>2022</v>
      </c>
      <c r="E4">
        <v>2023</v>
      </c>
      <c r="F4">
        <v>2024</v>
      </c>
      <c r="G4">
        <v>2025</v>
      </c>
      <c r="H4">
        <v>2026</v>
      </c>
      <c r="I4" s="10">
        <v>2027</v>
      </c>
      <c r="J4" s="10"/>
    </row>
    <row r="5" spans="1:10" ht="15.75">
      <c r="A5" s="11" t="s">
        <v>109</v>
      </c>
      <c r="C5" s="10" t="s">
        <v>74</v>
      </c>
      <c r="D5" s="36">
        <f>Выручка!J4</f>
        <v>55000000</v>
      </c>
      <c r="E5" s="36">
        <f>Выручка!K4</f>
        <v>58300000</v>
      </c>
      <c r="F5" s="36">
        <f>Выручка!L4</f>
        <v>61798000</v>
      </c>
      <c r="G5" s="36">
        <f>Выручка!M4</f>
        <v>65505880</v>
      </c>
      <c r="H5" s="36">
        <f>Выручка!N4</f>
        <v>69436232.800000012</v>
      </c>
      <c r="I5" s="36">
        <f>Выручка!O4</f>
        <v>73602406.768000022</v>
      </c>
      <c r="J5" s="10"/>
    </row>
    <row r="6" spans="1:10">
      <c r="A6" s="11" t="s">
        <v>110</v>
      </c>
      <c r="C6" s="10" t="s">
        <v>14</v>
      </c>
      <c r="D6" s="38">
        <f>SUM(D7:D10)</f>
        <v>-43200000</v>
      </c>
      <c r="E6" s="38">
        <f t="shared" ref="E6:I6" si="0">SUM(E7:E10)</f>
        <v>-45648000</v>
      </c>
      <c r="F6" s="38">
        <f t="shared" si="0"/>
        <v>-48242880</v>
      </c>
      <c r="G6" s="38">
        <f t="shared" si="0"/>
        <v>-50993452.799999997</v>
      </c>
      <c r="H6" s="38">
        <f t="shared" si="0"/>
        <v>-53909059.96800001</v>
      </c>
      <c r="I6" s="38">
        <f t="shared" si="0"/>
        <v>-54999603.566080019</v>
      </c>
      <c r="J6" s="10"/>
    </row>
    <row r="7" spans="1:10">
      <c r="A7" s="11" t="s">
        <v>110</v>
      </c>
      <c r="C7" s="23" t="s">
        <v>16</v>
      </c>
      <c r="D7" s="36">
        <f>-Производство!$D$8*ОФР!D5</f>
        <v>-35750000</v>
      </c>
      <c r="E7" s="36">
        <f>-Производство!$D$8*ОФР!E5</f>
        <v>-37895000</v>
      </c>
      <c r="F7" s="36">
        <f>-Производство!$D$8*ОФР!F5</f>
        <v>-40168700</v>
      </c>
      <c r="G7" s="36">
        <f>-Производство!$D$8*ОФР!G5</f>
        <v>-42578822</v>
      </c>
      <c r="H7" s="36">
        <f>-Производство!$D$8*ОФР!H5</f>
        <v>-45133551.320000008</v>
      </c>
      <c r="I7" s="36">
        <f>-Производство!$D$8*ОФР!I5</f>
        <v>-47841564.399200015</v>
      </c>
      <c r="J7" s="10"/>
    </row>
    <row r="8" spans="1:10">
      <c r="A8" s="11" t="s">
        <v>110</v>
      </c>
      <c r="C8" s="23" t="s">
        <v>75</v>
      </c>
      <c r="D8" s="36">
        <f>-Производство!D19-Производство!D20</f>
        <v>-5050000</v>
      </c>
      <c r="E8" s="36">
        <f>D8*(1+Инфо!D13)</f>
        <v>-5353000</v>
      </c>
      <c r="F8" s="36">
        <f>E8*(1+Инфо!E13)</f>
        <v>-5674180</v>
      </c>
      <c r="G8" s="36">
        <f>F8*(1+Инфо!F13)</f>
        <v>-6014630.8000000007</v>
      </c>
      <c r="H8" s="36">
        <f>G8*(1+Инфо!G13)</f>
        <v>-6375508.648000001</v>
      </c>
      <c r="I8" s="36">
        <f>H8*(1+Инфо!H13)</f>
        <v>-6758039.1668800013</v>
      </c>
      <c r="J8" s="10"/>
    </row>
    <row r="9" spans="1:10">
      <c r="A9" s="11"/>
      <c r="C9" s="23" t="s">
        <v>137</v>
      </c>
      <c r="D9" s="36">
        <f>-Инвестиции!$F$17</f>
        <v>-400000</v>
      </c>
      <c r="E9" s="36">
        <f>-Инвестиции!$F$17</f>
        <v>-400000</v>
      </c>
      <c r="F9" s="36">
        <f>-Инвестиции!$F$17</f>
        <v>-400000</v>
      </c>
      <c r="G9" s="36">
        <f>-Инвестиции!$F$17</f>
        <v>-400000</v>
      </c>
      <c r="H9" s="36">
        <f>-Инвестиции!$F$17</f>
        <v>-400000</v>
      </c>
      <c r="I9" s="36">
        <f>-Инвестиции!$F$17</f>
        <v>-400000</v>
      </c>
      <c r="J9" s="10"/>
    </row>
    <row r="10" spans="1:10">
      <c r="A10" s="11"/>
      <c r="C10" s="23" t="s">
        <v>138</v>
      </c>
      <c r="D10" s="36">
        <f>IF(D3&gt;ОФР!E19,0,-Инвестиции!$F$18)</f>
        <v>-2000000</v>
      </c>
      <c r="E10" s="36">
        <f>IF(E3&gt;ОФР!F19,0,-Инвестиции!$F$18)</f>
        <v>-2000000</v>
      </c>
      <c r="F10" s="36">
        <f>IF(F3&gt;ОФР!G19,0,-Инвестиции!$F$18)</f>
        <v>-2000000</v>
      </c>
      <c r="G10" s="36">
        <f>IF(G3&gt;ОФР!H19,0,-Инвестиции!$F$18)</f>
        <v>-2000000</v>
      </c>
      <c r="H10" s="36">
        <f>IF(H3&gt;ОФР!I19,0,-Инвестиции!$F$18)</f>
        <v>-2000000</v>
      </c>
      <c r="I10" s="36">
        <f>IF(I3&gt;ОФР!J19,0,-Инвестиции!$F$18)</f>
        <v>0</v>
      </c>
      <c r="J10" s="10"/>
    </row>
    <row r="11" spans="1:10">
      <c r="A11" s="11"/>
      <c r="C11" s="3" t="s">
        <v>76</v>
      </c>
      <c r="D11" s="38">
        <f>D5+D6</f>
        <v>11800000</v>
      </c>
      <c r="E11" s="38">
        <f t="shared" ref="E11:I11" si="1">E5+E6</f>
        <v>12652000</v>
      </c>
      <c r="F11" s="38">
        <f t="shared" si="1"/>
        <v>13555120</v>
      </c>
      <c r="G11" s="38">
        <f t="shared" si="1"/>
        <v>14512427.200000003</v>
      </c>
      <c r="H11" s="38">
        <f t="shared" si="1"/>
        <v>15527172.832000002</v>
      </c>
      <c r="I11" s="38">
        <f t="shared" si="1"/>
        <v>18602803.201920003</v>
      </c>
      <c r="J11" s="10"/>
    </row>
    <row r="12" spans="1:10">
      <c r="A12" s="11" t="s">
        <v>114</v>
      </c>
      <c r="C12" s="3" t="s">
        <v>77</v>
      </c>
      <c r="D12" s="24"/>
      <c r="E12" s="24"/>
      <c r="F12" s="24"/>
      <c r="G12" s="24"/>
      <c r="H12" s="24"/>
      <c r="I12" s="24"/>
      <c r="J12" s="10"/>
    </row>
    <row r="13" spans="1:10">
      <c r="A13" s="11" t="s">
        <v>115</v>
      </c>
      <c r="C13" s="10" t="s">
        <v>78</v>
      </c>
      <c r="D13" s="24"/>
      <c r="E13" s="24"/>
      <c r="F13" s="24"/>
      <c r="G13" s="24"/>
      <c r="H13" s="24"/>
      <c r="I13" s="24"/>
      <c r="J13" s="10"/>
    </row>
    <row r="14" spans="1:10">
      <c r="A14" s="11"/>
      <c r="C14" s="10" t="s">
        <v>81</v>
      </c>
      <c r="D14" s="38">
        <f t="shared" ref="D14:I14" si="2">D11-D12-D13</f>
        <v>11800000</v>
      </c>
      <c r="E14" s="38">
        <f t="shared" si="2"/>
        <v>12652000</v>
      </c>
      <c r="F14" s="38">
        <f t="shared" si="2"/>
        <v>13555120</v>
      </c>
      <c r="G14" s="38">
        <f t="shared" si="2"/>
        <v>14512427.200000003</v>
      </c>
      <c r="H14" s="38">
        <f t="shared" si="2"/>
        <v>15527172.832000002</v>
      </c>
      <c r="I14" s="38">
        <f t="shared" si="2"/>
        <v>18602803.201920003</v>
      </c>
      <c r="J14" s="10"/>
    </row>
    <row r="15" spans="1:10">
      <c r="A15" s="11"/>
      <c r="C15" s="53" t="s">
        <v>119</v>
      </c>
      <c r="D15" s="36">
        <f>-Инфо!D23*Инвестиции!$H$4</f>
        <v>-18000</v>
      </c>
      <c r="E15" s="36">
        <f>-Инфо!E23*Инвестиции!$H$4</f>
        <v>-18000</v>
      </c>
      <c r="F15" s="36">
        <f>-Инфо!F23*Инвестиции!$H$4</f>
        <v>-18000</v>
      </c>
      <c r="G15" s="36">
        <f>-Инфо!G23*Инвестиции!$H$4</f>
        <v>-18000</v>
      </c>
      <c r="H15" s="36">
        <f>-Инфо!H23*Инвестиции!$H$4</f>
        <v>-18000</v>
      </c>
      <c r="I15" s="36">
        <f>-Инфо!I23*Инвестиции!$H$4</f>
        <v>-18000</v>
      </c>
      <c r="J15" s="10"/>
    </row>
    <row r="16" spans="1:10">
      <c r="A16" s="11"/>
      <c r="C16" s="53" t="s">
        <v>133</v>
      </c>
      <c r="D16" s="38"/>
      <c r="E16" s="38"/>
      <c r="F16" s="38"/>
      <c r="G16" s="38"/>
      <c r="H16" s="38"/>
      <c r="I16" s="38">
        <f>Инвестиции!J19</f>
        <v>0</v>
      </c>
      <c r="J16" s="10"/>
    </row>
    <row r="17" spans="1:10">
      <c r="A17" s="11"/>
      <c r="C17" s="53" t="s">
        <v>136</v>
      </c>
      <c r="D17" s="38">
        <f>D14+D15+D16</f>
        <v>11782000</v>
      </c>
      <c r="E17" s="38">
        <f t="shared" ref="E17:I17" si="3">E14+E15+E16</f>
        <v>12634000</v>
      </c>
      <c r="F17" s="38">
        <f t="shared" si="3"/>
        <v>13537120</v>
      </c>
      <c r="G17" s="38">
        <f t="shared" si="3"/>
        <v>14494427.200000003</v>
      </c>
      <c r="H17" s="38">
        <f t="shared" si="3"/>
        <v>15509172.832000002</v>
      </c>
      <c r="I17" s="38">
        <f t="shared" si="3"/>
        <v>18584803.201920003</v>
      </c>
      <c r="J17" s="10"/>
    </row>
    <row r="18" spans="1:10">
      <c r="A18" s="11"/>
      <c r="C18" s="10" t="s">
        <v>116</v>
      </c>
      <c r="D18" s="38">
        <f>-0.2*D17</f>
        <v>-2356400</v>
      </c>
      <c r="E18" s="38">
        <f t="shared" ref="E18:G18" si="4">-0.2*E17</f>
        <v>-2526800</v>
      </c>
      <c r="F18" s="38">
        <f t="shared" si="4"/>
        <v>-2707424</v>
      </c>
      <c r="G18" s="38">
        <f t="shared" si="4"/>
        <v>-2898885.4400000009</v>
      </c>
      <c r="H18" s="38">
        <f>-0.2*H17</f>
        <v>-3101834.5664000008</v>
      </c>
      <c r="I18" s="38">
        <f>-0.2*I17</f>
        <v>-3716960.6403840007</v>
      </c>
      <c r="J18" s="10"/>
    </row>
    <row r="19" spans="1:10" ht="30">
      <c r="A19" s="11"/>
      <c r="C19" s="19" t="s">
        <v>80</v>
      </c>
      <c r="D19" s="38">
        <f>D14+D18</f>
        <v>9443600</v>
      </c>
      <c r="E19" s="38">
        <f t="shared" ref="E19:I19" si="5">E14+E18</f>
        <v>10125200</v>
      </c>
      <c r="F19" s="38">
        <f t="shared" si="5"/>
        <v>10847696</v>
      </c>
      <c r="G19" s="38">
        <f t="shared" si="5"/>
        <v>11613541.760000002</v>
      </c>
      <c r="H19" s="38">
        <f t="shared" si="5"/>
        <v>12425338.265600001</v>
      </c>
      <c r="I19" s="38">
        <f t="shared" si="5"/>
        <v>14885842.561536003</v>
      </c>
      <c r="J19" s="10"/>
    </row>
    <row r="20" spans="1:10">
      <c r="A20" s="11"/>
      <c r="C20" s="19" t="s">
        <v>194</v>
      </c>
      <c r="D20" s="89">
        <f>СF!F50+СF!E50</f>
        <v>-2900000</v>
      </c>
      <c r="E20" s="89">
        <f>СF!G50</f>
        <v>-2000000</v>
      </c>
      <c r="F20" s="89">
        <f>СF!H50</f>
        <v>-1500000</v>
      </c>
      <c r="G20" s="89">
        <f>СF!I50</f>
        <v>-1000000</v>
      </c>
      <c r="H20" s="89">
        <f>СF!J50</f>
        <v>-500000</v>
      </c>
      <c r="I20" s="89">
        <f>СF!K50</f>
        <v>0</v>
      </c>
      <c r="J20" s="10"/>
    </row>
    <row r="21" spans="1:10">
      <c r="A21" s="11"/>
      <c r="C21" s="19" t="s">
        <v>205</v>
      </c>
      <c r="D21" s="89"/>
      <c r="E21" s="89"/>
      <c r="F21" s="89"/>
      <c r="G21" s="89"/>
      <c r="H21" s="89"/>
      <c r="I21" s="89">
        <f>(Инвестиции!I16+Инвестиции!I17+Инвестиции!I18-Инвестиции!H16-Инвестиции!H17-Инвестиции!H18)</f>
        <v>0</v>
      </c>
      <c r="J21" s="10"/>
    </row>
    <row r="22" spans="1:10">
      <c r="C22" s="10" t="s">
        <v>193</v>
      </c>
      <c r="D22" s="70">
        <f>D14+D15+D16+D18+D20</f>
        <v>6525600</v>
      </c>
      <c r="E22" s="70">
        <f t="shared" ref="E22:H22" si="6">E14+E15+E16+E18+E20</f>
        <v>8107200</v>
      </c>
      <c r="F22" s="70">
        <f t="shared" si="6"/>
        <v>9329696</v>
      </c>
      <c r="G22" s="70">
        <f t="shared" si="6"/>
        <v>10595541.760000002</v>
      </c>
      <c r="H22" s="70">
        <f t="shared" si="6"/>
        <v>11907338.265600001</v>
      </c>
      <c r="I22" s="70">
        <f>I14+I15+I16+I18+I20+I21</f>
        <v>14867842.561536003</v>
      </c>
      <c r="J22" s="10"/>
    </row>
    <row r="23" spans="1:10">
      <c r="C23" s="10"/>
      <c r="D23" s="70"/>
      <c r="E23" s="70">
        <f>E19+E20</f>
        <v>8125200</v>
      </c>
      <c r="F23" s="10"/>
      <c r="G23" s="10"/>
      <c r="H23" s="10"/>
      <c r="I23" s="10"/>
      <c r="J23" s="10"/>
    </row>
    <row r="24" spans="1:10">
      <c r="C24" s="10"/>
      <c r="D24" s="10"/>
      <c r="E24" s="10"/>
      <c r="F24" s="10"/>
      <c r="G24" s="10"/>
      <c r="H24" s="10"/>
      <c r="I24" s="10"/>
      <c r="J24" s="10"/>
    </row>
    <row r="25" spans="1:10">
      <c r="C25" s="10"/>
      <c r="D25" s="10"/>
      <c r="E25" s="10"/>
      <c r="F25" s="10"/>
      <c r="G25" s="10"/>
      <c r="H25" s="10"/>
      <c r="I25" s="10"/>
      <c r="J25" s="10"/>
    </row>
    <row r="26" spans="1:10">
      <c r="C26" s="10"/>
      <c r="D26" s="10"/>
      <c r="E26" s="10"/>
      <c r="F26" s="10"/>
      <c r="G26" s="10"/>
      <c r="H26" s="10"/>
      <c r="I26" s="10"/>
      <c r="J26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Титул</vt:lpstr>
      <vt:lpstr>Инфо</vt:lpstr>
      <vt:lpstr>Инвестиции</vt:lpstr>
      <vt:lpstr>Выручка</vt:lpstr>
      <vt:lpstr>Производство</vt:lpstr>
      <vt:lpstr>Затраты на сбыт</vt:lpstr>
      <vt:lpstr>Управление</vt:lpstr>
      <vt:lpstr>WCR</vt:lpstr>
      <vt:lpstr>ОФР</vt:lpstr>
      <vt:lpstr>СF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dcterms:created xsi:type="dcterms:W3CDTF">2017-11-30T23:55:33Z</dcterms:created>
  <dcterms:modified xsi:type="dcterms:W3CDTF">2021-01-14T12:13:04Z</dcterms:modified>
</cp:coreProperties>
</file>