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570" windowHeight="11160"/>
  </bookViews>
  <sheets>
    <sheet name="Первоначальный баланс" sheetId="1" r:id="rId1"/>
    <sheet name="Первоначальный ОФР" sheetId="2" r:id="rId2"/>
    <sheet name="темп прироста" sheetId="3" r:id="rId3"/>
    <sheet name="Прогнозный ОФР" sheetId="4" r:id="rId4"/>
    <sheet name="Прогноз долгосрочного долга" sheetId="5" r:id="rId5"/>
    <sheet name="Потребность в ресурсах" sheetId="6" r:id="rId6"/>
    <sheet name="Финансовые коэффициенты" sheetId="7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"/>
  <c r="F7"/>
  <c r="G7"/>
  <c r="H7"/>
  <c r="I7"/>
  <c r="D7"/>
  <c r="E4"/>
  <c r="I8"/>
  <c r="H8"/>
  <c r="G8"/>
  <c r="F8"/>
  <c r="E8"/>
  <c r="I6"/>
  <c r="H6"/>
  <c r="G6"/>
  <c r="F6"/>
  <c r="E6"/>
  <c r="I5"/>
  <c r="H5"/>
  <c r="G5"/>
  <c r="F5"/>
  <c r="E5"/>
  <c r="I4"/>
  <c r="H4"/>
  <c r="G4"/>
  <c r="F4"/>
  <c r="H20" i="6"/>
  <c r="G20"/>
  <c r="F20"/>
  <c r="E20"/>
  <c r="D20"/>
  <c r="H16"/>
  <c r="G16"/>
  <c r="F16"/>
  <c r="E16"/>
  <c r="D16"/>
  <c r="C16"/>
  <c r="B15"/>
  <c r="B14"/>
  <c r="H2"/>
  <c r="H15" s="1"/>
  <c r="G2"/>
  <c r="G14" s="1"/>
  <c r="F2"/>
  <c r="F14" s="1"/>
  <c r="E2"/>
  <c r="D2"/>
  <c r="D15" s="1"/>
  <c r="C2"/>
  <c r="B2"/>
  <c r="H52" i="5"/>
  <c r="G52"/>
  <c r="F52"/>
  <c r="E52"/>
  <c r="D52"/>
  <c r="C49"/>
  <c r="D4" i="7" s="1"/>
  <c r="C47" i="5"/>
  <c r="D6" i="7" s="1"/>
  <c r="C46" i="5"/>
  <c r="C45"/>
  <c r="D41"/>
  <c r="E42" i="4"/>
  <c r="C10" i="2"/>
  <c r="C9"/>
  <c r="C7"/>
  <c r="C5"/>
  <c r="D14" i="6" l="1"/>
  <c r="D5" i="7"/>
  <c r="E14" i="6"/>
  <c r="E15"/>
  <c r="D17"/>
  <c r="D19" s="1"/>
  <c r="E17"/>
  <c r="E19" s="1"/>
  <c r="D8" i="7"/>
  <c r="H14" i="6"/>
  <c r="H17" s="1"/>
  <c r="H19" s="1"/>
  <c r="F15"/>
  <c r="F17" s="1"/>
  <c r="F19" s="1"/>
  <c r="G15"/>
  <c r="G17" s="1"/>
  <c r="G19" s="1"/>
</calcChain>
</file>

<file path=xl/sharedStrings.xml><?xml version="1.0" encoding="utf-8"?>
<sst xmlns="http://schemas.openxmlformats.org/spreadsheetml/2006/main" count="181" uniqueCount="82">
  <si>
    <t>0,9*(1)</t>
  </si>
  <si>
    <t>(1)-(2)-(3)</t>
  </si>
  <si>
    <t>0,1*Долгосрочный долг (баланс)</t>
  </si>
  <si>
    <t>0,4*((4)-(5))</t>
  </si>
  <si>
    <t>(4)-(5)-(6)</t>
  </si>
  <si>
    <t>(7)+(3)</t>
  </si>
  <si>
    <t>r</t>
  </si>
  <si>
    <t>ROE</t>
  </si>
  <si>
    <t>NPM</t>
  </si>
  <si>
    <t>TAT</t>
  </si>
  <si>
    <t>FD = A/E</t>
  </si>
  <si>
    <t>Net Income + D&amp;A</t>
  </si>
  <si>
    <t>Dividends</t>
  </si>
  <si>
    <t>Total investment</t>
  </si>
  <si>
    <t>Total Investment - OCF</t>
  </si>
  <si>
    <t xml:space="preserve">Активы </t>
  </si>
  <si>
    <t>Оборотные активы</t>
  </si>
  <si>
    <t>Денежные средства и ценные бумаги</t>
  </si>
  <si>
    <t>Дебиторская задолженность</t>
  </si>
  <si>
    <t>Товарно-материальные запасы</t>
  </si>
  <si>
    <t>Итого оборотные активы</t>
  </si>
  <si>
    <t>Основные средства</t>
  </si>
  <si>
    <t>Имущество, здания и оборудование</t>
  </si>
  <si>
    <t>Минус: накопленная амортизация</t>
  </si>
  <si>
    <t>Чистые основные средства</t>
  </si>
  <si>
    <t>Итого активы</t>
  </si>
  <si>
    <t>Обязательства и собственный капитал</t>
  </si>
  <si>
    <t>Текущие обязательства</t>
  </si>
  <si>
    <t xml:space="preserve">Долг с погашением в течение года </t>
  </si>
  <si>
    <t xml:space="preserve">Кредиторская задолженность </t>
  </si>
  <si>
    <t xml:space="preserve">Итого текущие обязательства </t>
  </si>
  <si>
    <t xml:space="preserve">Долгосрочный долг </t>
  </si>
  <si>
    <t>Собственный капитал акционеров</t>
  </si>
  <si>
    <t>Итого пассивов</t>
  </si>
  <si>
    <t>1. Выручка от реализации</t>
  </si>
  <si>
    <t>2. Себестоимость (не включая амортизацию), 90% от выручки</t>
  </si>
  <si>
    <t>3. Амортизация (10% основных средств на начало года)</t>
  </si>
  <si>
    <t>4. Прибыль до вычета процентов и налогов</t>
  </si>
  <si>
    <t>5. Проценты (10% долгосрочного долга на начало года)</t>
  </si>
  <si>
    <t>6. Налог (40%)</t>
  </si>
  <si>
    <t xml:space="preserve">7. Чистая прибыль </t>
  </si>
  <si>
    <t xml:space="preserve">8. Дивиденды </t>
  </si>
  <si>
    <t xml:space="preserve">9. Нераспределенная прибыль </t>
  </si>
  <si>
    <t xml:space="preserve">10. Прибыль на акцию (в дол.) </t>
  </si>
  <si>
    <t xml:space="preserve">11. Дивиденды на акцию (в дол.) </t>
  </si>
  <si>
    <t>Год</t>
  </si>
  <si>
    <t xml:space="preserve">Чистый оборотный капитал (20% выручки) </t>
  </si>
  <si>
    <t xml:space="preserve">Чистые основные средства (25% выручки) </t>
  </si>
  <si>
    <t xml:space="preserve">Итого  активы </t>
  </si>
  <si>
    <t xml:space="preserve">Собственный капитал </t>
  </si>
  <si>
    <t xml:space="preserve">Итого долгосрочные обязательства и собственный капитал </t>
  </si>
  <si>
    <t xml:space="preserve">Год </t>
  </si>
  <si>
    <t>Прирост чистого оборотного капитала (NWC) при условии:</t>
  </si>
  <si>
    <t xml:space="preserve">NWC= 20% выручки от реализации </t>
  </si>
  <si>
    <t xml:space="preserve">Основные средства = 25% выручки от реализации </t>
  </si>
  <si>
    <t xml:space="preserve">Дивиденды (60% чистой прибыли) </t>
  </si>
  <si>
    <t xml:space="preserve">Итого использование </t>
  </si>
  <si>
    <t>Потребность во внешнем финансировании =</t>
  </si>
  <si>
    <r>
      <t xml:space="preserve"> = </t>
    </r>
    <r>
      <rPr>
        <b/>
        <sz val="11"/>
        <color rgb="FF007D69"/>
        <rFont val="Calibri"/>
        <family val="2"/>
        <charset val="204"/>
      </rPr>
      <t>всего использование фондов - операционный денежный поток</t>
    </r>
  </si>
  <si>
    <t xml:space="preserve">Изменение </t>
  </si>
  <si>
    <t>Отчет о финансовых результатах</t>
  </si>
  <si>
    <t>рентабельность собственного капитала</t>
  </si>
  <si>
    <t>коэффициент реинвестирования  чистой прибыли</t>
  </si>
  <si>
    <t>рентабельности реализации по чистой прибыли</t>
  </si>
  <si>
    <t>коэффициент оборачиваемости активов</t>
  </si>
  <si>
    <t>Активы / собственный капитал = 1+Заемный капитал /Собственный капитал</t>
  </si>
  <si>
    <t>темп прироста</t>
  </si>
  <si>
    <t>1.Прогноз чистого оборотного капитала</t>
  </si>
  <si>
    <t>2. Прогноз основных средств</t>
  </si>
  <si>
    <t>3. Суммарные активы</t>
  </si>
  <si>
    <t>4.Итого активы = Собственный капитал + Заемный капитал</t>
  </si>
  <si>
    <t>5.Собственный капитал= Собственный капитал на начало периода + Нераспределенная прибыль</t>
  </si>
  <si>
    <t>6.Новая величина долгосрочного долга = Активы - Собственный капитал</t>
  </si>
  <si>
    <t>Дополнительный долг</t>
  </si>
  <si>
    <t>Операционный денежный поток</t>
  </si>
  <si>
    <t xml:space="preserve"> +20% темп прироста </t>
  </si>
  <si>
    <t xml:space="preserve">0,1* Остаточная стоимость ОС (Баланс) </t>
  </si>
  <si>
    <t>Долгосрочный долг / Собственный капитал</t>
  </si>
  <si>
    <t>Рентабельность собственного капитала</t>
  </si>
  <si>
    <t>Оборачиваемость активов</t>
  </si>
  <si>
    <t>Рентабельность реализации (NPM)</t>
  </si>
  <si>
    <t>Активы/Собственный капитал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</si>
</sst>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D69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right" wrapText="1" readingOrder="1"/>
    </xf>
    <xf numFmtId="0" fontId="4" fillId="0" borderId="1" xfId="0" applyFont="1" applyBorder="1" applyAlignment="1">
      <alignment horizontal="right" wrapText="1" readingOrder="1"/>
    </xf>
    <xf numFmtId="2" fontId="0" fillId="0" borderId="0" xfId="0" applyNumberFormat="1"/>
    <xf numFmtId="0" fontId="3" fillId="2" borderId="1" xfId="0" applyFont="1" applyFill="1" applyBorder="1" applyAlignment="1">
      <alignment horizontal="right" wrapText="1" readingOrder="1"/>
    </xf>
    <xf numFmtId="0" fontId="4" fillId="2" borderId="1" xfId="0" applyFont="1" applyFill="1" applyBorder="1" applyAlignment="1">
      <alignment horizontal="right" wrapText="1" readingOrder="1"/>
    </xf>
    <xf numFmtId="0" fontId="3" fillId="2" borderId="1" xfId="0" applyFont="1" applyFill="1" applyBorder="1" applyAlignment="1">
      <alignment horizontal="right" wrapText="1"/>
    </xf>
    <xf numFmtId="0" fontId="0" fillId="2" borderId="0" xfId="0" applyFill="1"/>
    <xf numFmtId="0" fontId="0" fillId="3" borderId="0" xfId="0" applyFill="1"/>
    <xf numFmtId="0" fontId="3" fillId="0" borderId="6" xfId="0" applyFont="1" applyFill="1" applyBorder="1" applyAlignment="1">
      <alignment horizontal="left" wrapText="1" readingOrder="1"/>
    </xf>
    <xf numFmtId="0" fontId="3" fillId="4" borderId="1" xfId="0" applyFont="1" applyFill="1" applyBorder="1" applyAlignment="1">
      <alignment horizontal="left" wrapText="1" readingOrder="1"/>
    </xf>
    <xf numFmtId="0" fontId="3" fillId="6" borderId="1" xfId="0" applyFont="1" applyFill="1" applyBorder="1" applyAlignment="1">
      <alignment horizontal="left" wrapText="1" readingOrder="1"/>
    </xf>
    <xf numFmtId="0" fontId="3" fillId="6" borderId="1" xfId="0" applyFont="1" applyFill="1" applyBorder="1" applyAlignment="1">
      <alignment horizontal="right" wrapText="1" readingOrder="1"/>
    </xf>
    <xf numFmtId="0" fontId="3" fillId="6" borderId="1" xfId="0" applyFont="1" applyFill="1" applyBorder="1" applyAlignment="1">
      <alignment horizontal="right" wrapText="1"/>
    </xf>
    <xf numFmtId="0" fontId="0" fillId="4" borderId="0" xfId="0" applyFill="1"/>
    <xf numFmtId="0" fontId="0" fillId="6" borderId="0" xfId="0" applyFill="1"/>
    <xf numFmtId="2" fontId="0" fillId="2" borderId="0" xfId="0" applyNumberFormat="1" applyFill="1"/>
    <xf numFmtId="0" fontId="4" fillId="6" borderId="1" xfId="0" applyFont="1" applyFill="1" applyBorder="1" applyAlignment="1">
      <alignment horizontal="right" wrapText="1" readingOrder="1"/>
    </xf>
    <xf numFmtId="0" fontId="3" fillId="5" borderId="0" xfId="0" applyFont="1" applyFill="1" applyBorder="1" applyAlignment="1">
      <alignment horizontal="left" wrapText="1" readingOrder="1"/>
    </xf>
    <xf numFmtId="0" fontId="6" fillId="6" borderId="1" xfId="0" applyFont="1" applyFill="1" applyBorder="1" applyAlignment="1">
      <alignment horizontal="right" wrapText="1" readingOrder="1"/>
    </xf>
    <xf numFmtId="0" fontId="5" fillId="6" borderId="1" xfId="0" applyFont="1" applyFill="1" applyBorder="1" applyAlignment="1">
      <alignment horizontal="left" wrapText="1" readingOrder="1"/>
    </xf>
    <xf numFmtId="0" fontId="5" fillId="6" borderId="1" xfId="0" applyFont="1" applyFill="1" applyBorder="1" applyAlignment="1">
      <alignment horizontal="right" wrapText="1" readingOrder="1"/>
    </xf>
    <xf numFmtId="0" fontId="7" fillId="0" borderId="1" xfId="0" applyFont="1" applyBorder="1" applyAlignment="1">
      <alignment horizontal="left" wrapText="1" readingOrder="1"/>
    </xf>
    <xf numFmtId="0" fontId="8" fillId="0" borderId="1" xfId="0" applyFont="1" applyBorder="1" applyAlignment="1">
      <alignment horizontal="left" wrapText="1" readingOrder="1"/>
    </xf>
    <xf numFmtId="0" fontId="12" fillId="7" borderId="1" xfId="0" applyFont="1" applyFill="1" applyBorder="1" applyAlignment="1">
      <alignment horizontal="center" wrapText="1" readingOrder="1"/>
    </xf>
    <xf numFmtId="17" fontId="12" fillId="7" borderId="1" xfId="0" applyNumberFormat="1" applyFont="1" applyFill="1" applyBorder="1" applyAlignment="1">
      <alignment horizontal="center" wrapText="1" readingOrder="1"/>
    </xf>
    <xf numFmtId="0" fontId="6" fillId="0" borderId="1" xfId="0" applyFont="1" applyBorder="1" applyAlignment="1">
      <alignment horizontal="left" wrapText="1" readingOrder="1"/>
    </xf>
    <xf numFmtId="0" fontId="6" fillId="6" borderId="1" xfId="0" applyFont="1" applyFill="1" applyBorder="1" applyAlignment="1">
      <alignment horizontal="left" wrapText="1" readingOrder="1"/>
    </xf>
    <xf numFmtId="0" fontId="10" fillId="7" borderId="0" xfId="0" applyFont="1" applyFill="1"/>
    <xf numFmtId="0" fontId="10" fillId="7" borderId="0" xfId="0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right" wrapText="1" readingOrder="1"/>
    </xf>
    <xf numFmtId="9" fontId="0" fillId="2" borderId="0" xfId="1" applyFont="1" applyFill="1"/>
    <xf numFmtId="10" fontId="0" fillId="2" borderId="0" xfId="1" applyNumberFormat="1" applyFont="1" applyFill="1"/>
    <xf numFmtId="0" fontId="11" fillId="7" borderId="8" xfId="0" applyFont="1" applyFill="1" applyBorder="1" applyAlignment="1">
      <alignment horizontal="right" wrapText="1" readingOrder="1"/>
    </xf>
    <xf numFmtId="0" fontId="3" fillId="0" borderId="7" xfId="0" applyFont="1" applyBorder="1" applyAlignment="1">
      <alignment horizontal="left" wrapText="1" readingOrder="1"/>
    </xf>
    <xf numFmtId="2" fontId="0" fillId="0" borderId="7" xfId="0" applyNumberFormat="1" applyBorder="1"/>
    <xf numFmtId="9" fontId="0" fillId="0" borderId="7" xfId="1" applyFont="1" applyBorder="1"/>
    <xf numFmtId="165" fontId="0" fillId="0" borderId="7" xfId="1" applyNumberFormat="1" applyFont="1" applyBorder="1"/>
    <xf numFmtId="0" fontId="3" fillId="0" borderId="3" xfId="0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workbookViewId="0">
      <selection activeCell="B34" sqref="B34"/>
    </sheetView>
  </sheetViews>
  <sheetFormatPr defaultRowHeight="15"/>
  <cols>
    <col min="2" max="2" width="24.7109375" customWidth="1"/>
    <col min="4" max="4" width="10.7109375" customWidth="1"/>
    <col min="5" max="5" width="16.5703125" customWidth="1"/>
    <col min="8" max="8" width="9" customWidth="1"/>
  </cols>
  <sheetData>
    <row r="3" spans="2:5" ht="20.45" customHeight="1">
      <c r="B3" s="25" t="s">
        <v>15</v>
      </c>
      <c r="C3" s="26">
        <v>43435</v>
      </c>
      <c r="D3" s="26">
        <v>43800</v>
      </c>
      <c r="E3" s="25" t="s">
        <v>59</v>
      </c>
    </row>
    <row r="4" spans="2:5" ht="22.15" customHeight="1">
      <c r="B4" s="27" t="s">
        <v>16</v>
      </c>
      <c r="C4" s="28"/>
      <c r="D4" s="28"/>
      <c r="E4" s="28"/>
    </row>
    <row r="5" spans="2:5" ht="28.15" customHeight="1">
      <c r="B5" s="27" t="s">
        <v>17</v>
      </c>
      <c r="C5" s="20">
        <v>75</v>
      </c>
      <c r="D5" s="20">
        <v>110</v>
      </c>
      <c r="E5" s="20">
        <v>35</v>
      </c>
    </row>
    <row r="6" spans="2:5" ht="14.45" customHeight="1">
      <c r="B6" s="27" t="s">
        <v>18</v>
      </c>
      <c r="C6" s="20">
        <v>433.1</v>
      </c>
      <c r="D6" s="20">
        <v>440</v>
      </c>
      <c r="E6" s="20">
        <v>6.9</v>
      </c>
    </row>
    <row r="7" spans="2:5" ht="15" customHeight="1">
      <c r="B7" s="27" t="s">
        <v>19</v>
      </c>
      <c r="C7" s="20">
        <v>339.9</v>
      </c>
      <c r="D7" s="20">
        <v>350</v>
      </c>
      <c r="E7" s="20">
        <v>10.1</v>
      </c>
    </row>
    <row r="8" spans="2:5" ht="18" customHeight="1">
      <c r="B8" s="27" t="s">
        <v>20</v>
      </c>
      <c r="C8" s="20">
        <v>848</v>
      </c>
      <c r="D8" s="20">
        <v>900</v>
      </c>
      <c r="E8" s="20">
        <v>52</v>
      </c>
    </row>
    <row r="9" spans="2:5" ht="15.6" customHeight="1">
      <c r="B9" s="27" t="s">
        <v>21</v>
      </c>
      <c r="C9" s="28"/>
      <c r="D9" s="28"/>
      <c r="E9" s="28"/>
    </row>
    <row r="10" spans="2:5" ht="15" customHeight="1">
      <c r="B10" s="27" t="s">
        <v>22</v>
      </c>
      <c r="C10" s="20">
        <v>929.5</v>
      </c>
      <c r="D10" s="20">
        <v>1000</v>
      </c>
      <c r="E10" s="20">
        <v>70.5</v>
      </c>
    </row>
    <row r="11" spans="2:5" ht="27.6" customHeight="1">
      <c r="B11" s="27" t="s">
        <v>23</v>
      </c>
      <c r="C11" s="20">
        <v>396.7</v>
      </c>
      <c r="D11" s="20">
        <v>450</v>
      </c>
      <c r="E11" s="20">
        <v>53.3</v>
      </c>
    </row>
    <row r="12" spans="2:5" ht="15.6" customHeight="1">
      <c r="B12" s="27" t="s">
        <v>24</v>
      </c>
      <c r="C12" s="20">
        <v>532.79999999999995</v>
      </c>
      <c r="D12" s="20">
        <v>550</v>
      </c>
      <c r="E12" s="20">
        <v>17.2</v>
      </c>
    </row>
    <row r="13" spans="2:5" ht="18" customHeight="1">
      <c r="B13" s="27" t="s">
        <v>25</v>
      </c>
      <c r="C13" s="20">
        <v>1380.8</v>
      </c>
      <c r="D13" s="20">
        <v>1450</v>
      </c>
      <c r="E13" s="20">
        <v>69.2</v>
      </c>
    </row>
    <row r="14" spans="2:5" ht="29.25" customHeight="1">
      <c r="B14" s="27" t="s">
        <v>26</v>
      </c>
      <c r="C14" s="28"/>
      <c r="D14" s="28"/>
      <c r="E14" s="28"/>
    </row>
    <row r="15" spans="2:5" ht="16.899999999999999" customHeight="1">
      <c r="B15" s="27" t="s">
        <v>27</v>
      </c>
      <c r="C15" s="28"/>
      <c r="D15" s="28"/>
      <c r="E15" s="28"/>
    </row>
    <row r="16" spans="2:5" ht="14.45" customHeight="1">
      <c r="B16" s="27" t="s">
        <v>28</v>
      </c>
      <c r="C16" s="20">
        <v>96.6</v>
      </c>
      <c r="D16" s="20">
        <v>100</v>
      </c>
      <c r="E16" s="20">
        <v>3.4</v>
      </c>
    </row>
    <row r="17" spans="2:5" ht="15" customHeight="1">
      <c r="B17" s="27" t="s">
        <v>29</v>
      </c>
      <c r="C17" s="20">
        <v>349.9</v>
      </c>
      <c r="D17" s="20">
        <v>360</v>
      </c>
      <c r="E17" s="20">
        <v>10.1</v>
      </c>
    </row>
    <row r="18" spans="2:5" ht="16.899999999999999" customHeight="1">
      <c r="B18" s="27" t="s">
        <v>30</v>
      </c>
      <c r="C18" s="20">
        <v>446.5</v>
      </c>
      <c r="D18" s="20">
        <v>460</v>
      </c>
      <c r="E18" s="20">
        <v>13.5</v>
      </c>
    </row>
    <row r="19" spans="2:5" ht="17.45" customHeight="1">
      <c r="B19" s="27" t="s">
        <v>31</v>
      </c>
      <c r="C19" s="20">
        <v>425</v>
      </c>
      <c r="D19" s="20">
        <v>450</v>
      </c>
      <c r="E19" s="20">
        <v>25</v>
      </c>
    </row>
    <row r="20" spans="2:5" ht="34.5" customHeight="1">
      <c r="B20" s="27" t="s">
        <v>32</v>
      </c>
      <c r="C20" s="20">
        <v>509.3</v>
      </c>
      <c r="D20" s="20">
        <v>540</v>
      </c>
      <c r="E20" s="20">
        <v>30.7</v>
      </c>
    </row>
    <row r="21" spans="2:5" ht="16.149999999999999" customHeight="1">
      <c r="B21" s="27" t="s">
        <v>33</v>
      </c>
      <c r="C21" s="20">
        <v>1380.8</v>
      </c>
      <c r="D21" s="20">
        <v>1450</v>
      </c>
      <c r="E21" s="20">
        <v>69.2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2"/>
  <sheetViews>
    <sheetView workbookViewId="0">
      <selection activeCell="C29" sqref="C29"/>
    </sheetView>
  </sheetViews>
  <sheetFormatPr defaultRowHeight="15"/>
  <cols>
    <col min="2" max="2" width="56.85546875" customWidth="1"/>
    <col min="3" max="3" width="20.28515625" customWidth="1"/>
    <col min="7" max="7" width="11.28515625" customWidth="1"/>
  </cols>
  <sheetData>
    <row r="1" spans="2:3">
      <c r="B1" s="30" t="s">
        <v>60</v>
      </c>
      <c r="C1" s="30">
        <v>2019</v>
      </c>
    </row>
    <row r="2" spans="2:3">
      <c r="B2" s="27" t="s">
        <v>34</v>
      </c>
      <c r="C2" s="31">
        <v>2200</v>
      </c>
    </row>
    <row r="3" spans="2:3" ht="31.9" customHeight="1">
      <c r="B3" s="27" t="s">
        <v>35</v>
      </c>
      <c r="C3" s="31">
        <v>1980</v>
      </c>
    </row>
    <row r="4" spans="2:3" ht="26.45" customHeight="1">
      <c r="B4" s="27" t="s">
        <v>36</v>
      </c>
      <c r="C4" s="31">
        <v>53.3</v>
      </c>
    </row>
    <row r="5" spans="2:3">
      <c r="B5" s="27" t="s">
        <v>37</v>
      </c>
      <c r="C5" s="31">
        <f>C2-C3-C4</f>
        <v>166.7</v>
      </c>
    </row>
    <row r="6" spans="2:3">
      <c r="B6" s="27" t="s">
        <v>38</v>
      </c>
      <c r="C6" s="31">
        <v>42.5</v>
      </c>
    </row>
    <row r="7" spans="2:3">
      <c r="B7" s="27" t="s">
        <v>39</v>
      </c>
      <c r="C7" s="31">
        <f>(C5-C6)*0.4</f>
        <v>49.68</v>
      </c>
    </row>
    <row r="8" spans="2:3" ht="13.9" customHeight="1">
      <c r="B8" s="27" t="s">
        <v>40</v>
      </c>
      <c r="C8" s="31">
        <v>74.5</v>
      </c>
    </row>
    <row r="9" spans="2:3">
      <c r="B9" s="27" t="s">
        <v>41</v>
      </c>
      <c r="C9" s="31">
        <f>0.588*C8</f>
        <v>43.805999999999997</v>
      </c>
    </row>
    <row r="10" spans="2:3" ht="24.75" customHeight="1">
      <c r="B10" s="27" t="s">
        <v>42</v>
      </c>
      <c r="C10" s="31">
        <f>C8-C9</f>
        <v>30.694000000000003</v>
      </c>
    </row>
    <row r="11" spans="2:3">
      <c r="B11" s="27" t="s">
        <v>43</v>
      </c>
      <c r="C11" s="31">
        <v>5.26</v>
      </c>
    </row>
    <row r="12" spans="2:3" ht="25.5" customHeight="1">
      <c r="B12" s="27" t="s">
        <v>44</v>
      </c>
      <c r="C12" s="31">
        <v>3.09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E12"/>
  <sheetViews>
    <sheetView workbookViewId="0">
      <selection activeCell="D4" sqref="D4:D11"/>
    </sheetView>
  </sheetViews>
  <sheetFormatPr defaultRowHeight="15"/>
  <cols>
    <col min="3" max="3" width="18.5703125" customWidth="1"/>
  </cols>
  <sheetData>
    <row r="4" spans="3:5">
      <c r="C4" s="16" t="s">
        <v>7</v>
      </c>
      <c r="D4" s="32"/>
      <c r="E4" t="s">
        <v>61</v>
      </c>
    </row>
    <row r="5" spans="3:5">
      <c r="C5" s="16" t="s">
        <v>6</v>
      </c>
      <c r="D5" s="17"/>
      <c r="E5" t="s">
        <v>62</v>
      </c>
    </row>
    <row r="6" spans="3:5">
      <c r="C6" s="16" t="s">
        <v>8</v>
      </c>
      <c r="D6" s="17"/>
      <c r="E6" t="s">
        <v>63</v>
      </c>
    </row>
    <row r="7" spans="3:5">
      <c r="C7" s="16" t="s">
        <v>9</v>
      </c>
      <c r="D7" s="17"/>
      <c r="E7" t="s">
        <v>64</v>
      </c>
    </row>
    <row r="8" spans="3:5">
      <c r="C8" s="16" t="s">
        <v>10</v>
      </c>
      <c r="D8" s="17"/>
      <c r="E8" t="s">
        <v>65</v>
      </c>
    </row>
    <row r="11" spans="3:5">
      <c r="C11" s="16" t="s">
        <v>66</v>
      </c>
      <c r="D11" s="33"/>
    </row>
    <row r="12" spans="3:5">
      <c r="D12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6"/>
  <sheetViews>
    <sheetView topLeftCell="A35" workbookViewId="0">
      <selection activeCell="E46" sqref="E46:I56"/>
    </sheetView>
  </sheetViews>
  <sheetFormatPr defaultRowHeight="15"/>
  <cols>
    <col min="2" max="2" width="16.7109375" customWidth="1"/>
    <col min="3" max="3" width="21.140625" customWidth="1"/>
  </cols>
  <sheetData>
    <row r="2" spans="2:9">
      <c r="B2" s="1"/>
      <c r="C2" s="1"/>
      <c r="D2" s="2">
        <v>2019</v>
      </c>
      <c r="E2" s="2">
        <v>2020</v>
      </c>
      <c r="F2" s="2">
        <v>2021</v>
      </c>
      <c r="G2" s="2">
        <v>2022</v>
      </c>
      <c r="H2" s="2">
        <v>2023</v>
      </c>
      <c r="I2" s="2">
        <v>2024</v>
      </c>
    </row>
    <row r="3" spans="2:9" ht="31.5" customHeight="1">
      <c r="B3" s="1" t="s">
        <v>75</v>
      </c>
      <c r="C3" s="27" t="s">
        <v>34</v>
      </c>
      <c r="D3" s="2">
        <v>2200</v>
      </c>
      <c r="E3" s="5">
        <v>2640</v>
      </c>
      <c r="F3" s="2"/>
      <c r="G3" s="2"/>
      <c r="H3" s="2"/>
      <c r="I3" s="2"/>
    </row>
    <row r="4" spans="2:9" ht="47.45" customHeight="1">
      <c r="B4" s="1" t="s">
        <v>0</v>
      </c>
      <c r="C4" s="27" t="s">
        <v>35</v>
      </c>
      <c r="D4" s="2">
        <v>1980</v>
      </c>
      <c r="E4" s="5">
        <v>2376</v>
      </c>
      <c r="F4" s="2"/>
      <c r="G4" s="2"/>
      <c r="H4" s="2"/>
      <c r="I4" s="2"/>
    </row>
    <row r="5" spans="2:9" ht="48" customHeight="1">
      <c r="B5" s="1" t="s">
        <v>76</v>
      </c>
      <c r="C5" s="27" t="s">
        <v>36</v>
      </c>
      <c r="D5" s="2">
        <v>53.3</v>
      </c>
      <c r="E5" s="5">
        <v>55</v>
      </c>
      <c r="F5" s="2"/>
      <c r="G5" s="2"/>
      <c r="H5" s="2"/>
      <c r="I5" s="2"/>
    </row>
    <row r="6" spans="2:9" ht="45">
      <c r="B6" s="1" t="s">
        <v>1</v>
      </c>
      <c r="C6" s="27" t="s">
        <v>37</v>
      </c>
      <c r="D6" s="2">
        <v>166.7</v>
      </c>
      <c r="E6" s="5">
        <v>209</v>
      </c>
      <c r="F6" s="2"/>
      <c r="G6" s="2"/>
      <c r="H6" s="2"/>
      <c r="I6" s="2"/>
    </row>
    <row r="7" spans="2:9" ht="45">
      <c r="B7" s="1" t="s">
        <v>2</v>
      </c>
      <c r="C7" s="27" t="s">
        <v>38</v>
      </c>
      <c r="D7" s="2">
        <v>42.5</v>
      </c>
      <c r="E7" s="3"/>
      <c r="F7" s="2"/>
      <c r="G7" s="2"/>
      <c r="H7" s="2"/>
      <c r="I7" s="2"/>
    </row>
    <row r="8" spans="2:9">
      <c r="B8" s="1" t="s">
        <v>3</v>
      </c>
      <c r="C8" s="27" t="s">
        <v>39</v>
      </c>
      <c r="D8" s="2">
        <v>49.7</v>
      </c>
      <c r="E8" s="2"/>
      <c r="F8" s="2"/>
      <c r="G8" s="2"/>
      <c r="H8" s="2"/>
      <c r="I8" s="2"/>
    </row>
    <row r="9" spans="2:9">
      <c r="B9" s="1" t="s">
        <v>4</v>
      </c>
      <c r="C9" s="27" t="s">
        <v>40</v>
      </c>
      <c r="D9" s="2">
        <v>74.5</v>
      </c>
      <c r="E9" s="2"/>
      <c r="F9" s="2"/>
      <c r="G9" s="2"/>
      <c r="H9" s="2"/>
      <c r="I9" s="2"/>
    </row>
    <row r="10" spans="2:9">
      <c r="B10" s="1"/>
      <c r="C10" s="27" t="s">
        <v>41</v>
      </c>
      <c r="D10" s="2">
        <v>43.8</v>
      </c>
      <c r="E10" s="2"/>
      <c r="F10" s="2"/>
      <c r="G10" s="2"/>
      <c r="H10" s="2"/>
      <c r="I10" s="2"/>
    </row>
    <row r="11" spans="2:9" ht="30">
      <c r="B11" s="1"/>
      <c r="C11" s="27" t="s">
        <v>42</v>
      </c>
      <c r="D11" s="2">
        <v>30.7</v>
      </c>
      <c r="E11" s="2"/>
      <c r="F11" s="2"/>
      <c r="G11" s="2"/>
      <c r="H11" s="2"/>
      <c r="I11" s="2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 ht="30">
      <c r="B13" s="1" t="s">
        <v>5</v>
      </c>
      <c r="C13" s="3" t="s">
        <v>74</v>
      </c>
      <c r="D13" s="3">
        <v>127.8</v>
      </c>
      <c r="E13" s="3">
        <v>153.4</v>
      </c>
      <c r="F13" s="2">
        <v>179.96</v>
      </c>
      <c r="G13" s="2">
        <v>211.74</v>
      </c>
      <c r="H13" s="2">
        <v>249.77</v>
      </c>
      <c r="I13" s="2">
        <v>295.3</v>
      </c>
    </row>
    <row r="16" spans="2:9">
      <c r="B16" s="1"/>
      <c r="C16" s="1"/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</row>
    <row r="17" spans="2:9" ht="30">
      <c r="B17" s="1" t="s">
        <v>75</v>
      </c>
      <c r="C17" s="27" t="s">
        <v>34</v>
      </c>
      <c r="D17" s="2">
        <v>2200</v>
      </c>
      <c r="E17" s="2">
        <v>2640</v>
      </c>
      <c r="F17" s="2"/>
      <c r="G17" s="2"/>
      <c r="H17" s="2"/>
      <c r="I17" s="2"/>
    </row>
    <row r="18" spans="2:9" ht="60">
      <c r="B18" s="1" t="s">
        <v>0</v>
      </c>
      <c r="C18" s="27" t="s">
        <v>35</v>
      </c>
      <c r="D18" s="2">
        <v>1980</v>
      </c>
      <c r="E18" s="2">
        <v>2376</v>
      </c>
      <c r="F18" s="2"/>
      <c r="G18" s="2"/>
      <c r="H18" s="2"/>
      <c r="I18" s="2"/>
    </row>
    <row r="19" spans="2:9" ht="45">
      <c r="B19" s="1" t="s">
        <v>76</v>
      </c>
      <c r="C19" s="27" t="s">
        <v>36</v>
      </c>
      <c r="D19" s="2">
        <v>53.3</v>
      </c>
      <c r="E19" s="2">
        <v>55</v>
      </c>
      <c r="F19" s="2"/>
      <c r="G19" s="2"/>
      <c r="H19" s="2"/>
      <c r="I19" s="2"/>
    </row>
    <row r="20" spans="2:9" ht="45">
      <c r="B20" s="1" t="s">
        <v>1</v>
      </c>
      <c r="C20" s="27" t="s">
        <v>37</v>
      </c>
      <c r="D20" s="2">
        <v>166.7</v>
      </c>
      <c r="E20" s="2">
        <v>209</v>
      </c>
      <c r="F20" s="2"/>
      <c r="G20" s="2"/>
      <c r="H20" s="2"/>
      <c r="I20" s="2"/>
    </row>
    <row r="21" spans="2:9" ht="45">
      <c r="B21" s="1" t="s">
        <v>2</v>
      </c>
      <c r="C21" s="27" t="s">
        <v>38</v>
      </c>
      <c r="D21" s="2">
        <v>42.5</v>
      </c>
      <c r="E21" s="6">
        <v>45</v>
      </c>
      <c r="F21" s="2"/>
      <c r="G21" s="2"/>
      <c r="H21" s="2"/>
      <c r="I21" s="2"/>
    </row>
    <row r="22" spans="2:9">
      <c r="B22" s="1" t="s">
        <v>3</v>
      </c>
      <c r="C22" s="27" t="s">
        <v>39</v>
      </c>
      <c r="D22" s="2">
        <v>49.7</v>
      </c>
      <c r="E22" s="2"/>
      <c r="F22" s="2"/>
      <c r="G22" s="2"/>
      <c r="H22" s="2"/>
      <c r="I22" s="2"/>
    </row>
    <row r="23" spans="2:9">
      <c r="B23" s="1" t="s">
        <v>4</v>
      </c>
      <c r="C23" s="27" t="s">
        <v>40</v>
      </c>
      <c r="D23" s="2">
        <v>74.5</v>
      </c>
      <c r="E23" s="2"/>
      <c r="F23" s="2"/>
      <c r="G23" s="2"/>
      <c r="H23" s="2"/>
      <c r="I23" s="2"/>
    </row>
    <row r="24" spans="2:9">
      <c r="B24" s="1"/>
      <c r="C24" s="27" t="s">
        <v>41</v>
      </c>
      <c r="D24" s="2">
        <v>43.8</v>
      </c>
      <c r="E24" s="2"/>
      <c r="F24" s="2"/>
      <c r="G24" s="2"/>
      <c r="H24" s="2"/>
      <c r="I24" s="2"/>
    </row>
    <row r="25" spans="2:9" ht="30">
      <c r="B25" s="1"/>
      <c r="C25" s="27" t="s">
        <v>42</v>
      </c>
      <c r="D25" s="2">
        <v>30.7</v>
      </c>
      <c r="E25" s="2"/>
      <c r="F25" s="2"/>
      <c r="G25" s="2"/>
      <c r="H25" s="2"/>
      <c r="I25" s="2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 ht="30">
      <c r="B27" s="1" t="s">
        <v>5</v>
      </c>
      <c r="C27" s="3" t="s">
        <v>74</v>
      </c>
      <c r="D27" s="3">
        <v>127.8</v>
      </c>
      <c r="E27" s="3">
        <v>153.4</v>
      </c>
      <c r="F27" s="2">
        <v>179.96</v>
      </c>
      <c r="G27" s="2">
        <v>211.74</v>
      </c>
      <c r="H27" s="2">
        <v>249.77</v>
      </c>
      <c r="I27" s="2">
        <v>295.3</v>
      </c>
    </row>
    <row r="30" spans="2:9">
      <c r="B30" s="1"/>
      <c r="C30" s="1"/>
      <c r="D30" s="2">
        <v>2019</v>
      </c>
      <c r="E30" s="2">
        <v>2020</v>
      </c>
      <c r="F30" s="2">
        <v>2021</v>
      </c>
      <c r="G30" s="2">
        <v>2022</v>
      </c>
      <c r="H30" s="2">
        <v>2023</v>
      </c>
      <c r="I30" s="2">
        <v>2024</v>
      </c>
    </row>
    <row r="31" spans="2:9" ht="30">
      <c r="B31" s="1" t="s">
        <v>75</v>
      </c>
      <c r="C31" s="27" t="s">
        <v>34</v>
      </c>
      <c r="D31" s="2">
        <v>2200</v>
      </c>
      <c r="E31" s="2">
        <v>2640</v>
      </c>
      <c r="F31" s="2"/>
      <c r="G31" s="2"/>
      <c r="H31" s="2"/>
      <c r="I31" s="2"/>
    </row>
    <row r="32" spans="2:9" ht="60">
      <c r="B32" s="1" t="s">
        <v>0</v>
      </c>
      <c r="C32" s="27" t="s">
        <v>35</v>
      </c>
      <c r="D32" s="2">
        <v>1980</v>
      </c>
      <c r="E32" s="2">
        <v>2376</v>
      </c>
      <c r="F32" s="2"/>
      <c r="G32" s="2"/>
      <c r="H32" s="2"/>
      <c r="I32" s="2"/>
    </row>
    <row r="33" spans="2:9" ht="45">
      <c r="B33" s="1" t="s">
        <v>76</v>
      </c>
      <c r="C33" s="27" t="s">
        <v>36</v>
      </c>
      <c r="D33" s="2">
        <v>53.3</v>
      </c>
      <c r="E33" s="2">
        <v>55</v>
      </c>
      <c r="F33" s="2"/>
      <c r="G33" s="2"/>
      <c r="H33" s="2"/>
      <c r="I33" s="2"/>
    </row>
    <row r="34" spans="2:9" ht="45">
      <c r="B34" s="1" t="s">
        <v>1</v>
      </c>
      <c r="C34" s="27" t="s">
        <v>37</v>
      </c>
      <c r="D34" s="2">
        <v>166.7</v>
      </c>
      <c r="E34" s="2">
        <v>209</v>
      </c>
      <c r="F34" s="2"/>
      <c r="G34" s="2"/>
      <c r="H34" s="2"/>
      <c r="I34" s="2"/>
    </row>
    <row r="35" spans="2:9" ht="45">
      <c r="B35" s="1" t="s">
        <v>2</v>
      </c>
      <c r="C35" s="27" t="s">
        <v>38</v>
      </c>
      <c r="D35" s="2">
        <v>42.5</v>
      </c>
      <c r="E35" s="3">
        <v>45</v>
      </c>
      <c r="F35" s="2"/>
      <c r="G35" s="2"/>
      <c r="H35" s="2"/>
      <c r="I35" s="2"/>
    </row>
    <row r="36" spans="2:9">
      <c r="B36" s="1" t="s">
        <v>3</v>
      </c>
      <c r="C36" s="27" t="s">
        <v>39</v>
      </c>
      <c r="D36" s="2">
        <v>49.7</v>
      </c>
      <c r="E36" s="2">
        <v>65.599999999999994</v>
      </c>
      <c r="F36" s="2"/>
      <c r="G36" s="2"/>
      <c r="H36" s="2"/>
      <c r="I36" s="2"/>
    </row>
    <row r="37" spans="2:9">
      <c r="B37" s="1" t="s">
        <v>4</v>
      </c>
      <c r="C37" s="27" t="s">
        <v>40</v>
      </c>
      <c r="D37" s="2">
        <v>74.5</v>
      </c>
      <c r="E37" s="2">
        <v>98.4</v>
      </c>
      <c r="F37" s="2"/>
      <c r="G37" s="2"/>
      <c r="H37" s="2"/>
      <c r="I37" s="2"/>
    </row>
    <row r="38" spans="2:9">
      <c r="B38" s="1"/>
      <c r="C38" s="27" t="s">
        <v>41</v>
      </c>
      <c r="D38" s="2">
        <v>43.8</v>
      </c>
      <c r="E38" s="2">
        <v>59.04</v>
      </c>
      <c r="F38" s="2"/>
      <c r="G38" s="2"/>
      <c r="H38" s="2"/>
      <c r="I38" s="2"/>
    </row>
    <row r="39" spans="2:9" ht="30">
      <c r="B39" s="1"/>
      <c r="C39" s="27" t="s">
        <v>42</v>
      </c>
      <c r="D39" s="2">
        <v>30.7</v>
      </c>
      <c r="E39" s="2">
        <v>39.36</v>
      </c>
      <c r="F39" s="2"/>
      <c r="G39" s="2"/>
      <c r="H39" s="2"/>
      <c r="I39" s="2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 ht="30">
      <c r="B41" s="1" t="s">
        <v>5</v>
      </c>
      <c r="C41" s="3" t="s">
        <v>74</v>
      </c>
      <c r="D41" s="3">
        <v>127.8</v>
      </c>
      <c r="E41" s="6">
        <v>153.4</v>
      </c>
      <c r="F41" s="2"/>
      <c r="G41" s="2"/>
      <c r="H41" s="2"/>
      <c r="I41" s="2"/>
    </row>
    <row r="42" spans="2:9">
      <c r="C42" s="10" t="s">
        <v>11</v>
      </c>
      <c r="E42">
        <f>E37+E33</f>
        <v>153.4</v>
      </c>
    </row>
    <row r="45" spans="2:9">
      <c r="B45" s="11"/>
      <c r="C45" s="11"/>
      <c r="D45" s="2">
        <v>2019</v>
      </c>
      <c r="E45" s="2">
        <v>2020</v>
      </c>
      <c r="F45" s="2">
        <v>2021</v>
      </c>
      <c r="G45" s="2">
        <v>2022</v>
      </c>
      <c r="H45" s="2">
        <v>2023</v>
      </c>
      <c r="I45" s="2">
        <v>2024</v>
      </c>
    </row>
    <row r="46" spans="2:9" ht="30">
      <c r="B46" s="11" t="s">
        <v>75</v>
      </c>
      <c r="C46" s="27" t="s">
        <v>34</v>
      </c>
      <c r="D46" s="13">
        <v>2200</v>
      </c>
      <c r="E46" s="13"/>
      <c r="F46" s="13"/>
      <c r="G46" s="13"/>
      <c r="H46" s="13"/>
      <c r="I46" s="13"/>
    </row>
    <row r="47" spans="2:9" ht="60">
      <c r="B47" s="11" t="s">
        <v>0</v>
      </c>
      <c r="C47" s="27" t="s">
        <v>35</v>
      </c>
      <c r="D47" s="13">
        <v>1980</v>
      </c>
      <c r="E47" s="13"/>
      <c r="F47" s="13"/>
      <c r="G47" s="13"/>
      <c r="H47" s="13"/>
      <c r="I47" s="13"/>
    </row>
    <row r="48" spans="2:9" ht="45">
      <c r="B48" s="11" t="s">
        <v>76</v>
      </c>
      <c r="C48" s="27" t="s">
        <v>36</v>
      </c>
      <c r="D48" s="13">
        <v>53.3</v>
      </c>
      <c r="E48" s="13"/>
      <c r="F48" s="13"/>
      <c r="G48" s="13"/>
      <c r="H48" s="13"/>
      <c r="I48" s="13"/>
    </row>
    <row r="49" spans="2:9" ht="45">
      <c r="B49" s="11" t="s">
        <v>1</v>
      </c>
      <c r="C49" s="27" t="s">
        <v>37</v>
      </c>
      <c r="D49" s="13">
        <v>166.7</v>
      </c>
      <c r="E49" s="13"/>
      <c r="F49" s="13"/>
      <c r="G49" s="13"/>
      <c r="H49" s="13"/>
      <c r="I49" s="13"/>
    </row>
    <row r="50" spans="2:9" ht="45">
      <c r="B50" s="11" t="s">
        <v>2</v>
      </c>
      <c r="C50" s="27" t="s">
        <v>38</v>
      </c>
      <c r="D50" s="13">
        <v>42.5</v>
      </c>
      <c r="E50" s="13"/>
      <c r="F50" s="13"/>
      <c r="G50" s="13"/>
      <c r="H50" s="13"/>
      <c r="I50" s="13"/>
    </row>
    <row r="51" spans="2:9">
      <c r="B51" s="11" t="s">
        <v>3</v>
      </c>
      <c r="C51" s="27" t="s">
        <v>39</v>
      </c>
      <c r="D51" s="13">
        <v>49.7</v>
      </c>
      <c r="E51" s="13"/>
      <c r="F51" s="13"/>
      <c r="G51" s="13"/>
      <c r="H51" s="13"/>
      <c r="I51" s="13"/>
    </row>
    <row r="52" spans="2:9">
      <c r="B52" s="11" t="s">
        <v>4</v>
      </c>
      <c r="C52" s="27" t="s">
        <v>40</v>
      </c>
      <c r="D52" s="13">
        <v>74.5</v>
      </c>
      <c r="E52" s="13"/>
      <c r="F52" s="13"/>
      <c r="G52" s="13"/>
      <c r="H52" s="13"/>
      <c r="I52" s="13"/>
    </row>
    <row r="53" spans="2:9">
      <c r="B53" s="11"/>
      <c r="C53" s="27" t="s">
        <v>41</v>
      </c>
      <c r="D53" s="13">
        <v>43.8</v>
      </c>
      <c r="E53" s="13"/>
      <c r="F53" s="13"/>
      <c r="G53" s="13"/>
      <c r="H53" s="13"/>
      <c r="I53" s="13"/>
    </row>
    <row r="54" spans="2:9" ht="30">
      <c r="B54" s="11"/>
      <c r="C54" s="27" t="s">
        <v>42</v>
      </c>
      <c r="D54" s="13">
        <v>30.7</v>
      </c>
      <c r="E54" s="13"/>
      <c r="F54" s="13"/>
      <c r="G54" s="13"/>
      <c r="H54" s="13"/>
      <c r="I54" s="13"/>
    </row>
    <row r="55" spans="2:9">
      <c r="B55" s="11"/>
      <c r="C55" s="11"/>
      <c r="D55" s="12"/>
      <c r="E55" s="12"/>
      <c r="F55" s="12"/>
      <c r="G55" s="12"/>
      <c r="H55" s="12"/>
      <c r="I55" s="12"/>
    </row>
    <row r="56" spans="2:9" ht="30">
      <c r="B56" s="11" t="s">
        <v>5</v>
      </c>
      <c r="C56" s="3" t="s">
        <v>74</v>
      </c>
      <c r="D56" s="18">
        <v>127.8</v>
      </c>
      <c r="E56" s="18"/>
      <c r="F56" s="13"/>
      <c r="G56" s="13"/>
      <c r="H56" s="13"/>
      <c r="I5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opLeftCell="A28" workbookViewId="0">
      <selection activeCell="D45" sqref="D45:H50"/>
    </sheetView>
  </sheetViews>
  <sheetFormatPr defaultRowHeight="15"/>
  <cols>
    <col min="2" max="2" width="27" customWidth="1"/>
  </cols>
  <sheetData>
    <row r="1" spans="1:8">
      <c r="A1" s="42" t="s">
        <v>67</v>
      </c>
      <c r="B1" s="42"/>
      <c r="C1" s="42"/>
      <c r="D1" s="42"/>
      <c r="E1" s="42"/>
      <c r="F1" s="42"/>
      <c r="G1" s="42"/>
      <c r="H1" s="42"/>
    </row>
    <row r="2" spans="1:8">
      <c r="B2" s="23" t="s">
        <v>45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  <c r="H2" s="2">
        <v>2024</v>
      </c>
    </row>
    <row r="3" spans="1:8" ht="32.25" customHeight="1">
      <c r="B3" s="23" t="s">
        <v>46</v>
      </c>
      <c r="C3" s="13">
        <v>440</v>
      </c>
      <c r="D3" s="5">
        <v>528</v>
      </c>
      <c r="E3" s="14"/>
      <c r="F3" s="14"/>
      <c r="G3" s="14"/>
      <c r="H3" s="14"/>
    </row>
    <row r="4" spans="1:8" ht="28.9" customHeight="1">
      <c r="B4" s="23" t="s">
        <v>47</v>
      </c>
      <c r="C4" s="13">
        <v>550</v>
      </c>
      <c r="D4" s="13"/>
      <c r="E4" s="14"/>
      <c r="F4" s="14"/>
      <c r="G4" s="14"/>
      <c r="H4" s="14"/>
    </row>
    <row r="5" spans="1:8" ht="16.149999999999999" customHeight="1">
      <c r="B5" s="23" t="s">
        <v>48</v>
      </c>
      <c r="C5" s="13">
        <v>990</v>
      </c>
      <c r="D5" s="13"/>
      <c r="E5" s="14"/>
      <c r="F5" s="14"/>
      <c r="G5" s="14"/>
      <c r="H5" s="14"/>
    </row>
    <row r="6" spans="1:8" ht="18" customHeight="1">
      <c r="B6" s="23" t="s">
        <v>31</v>
      </c>
      <c r="C6" s="13">
        <v>450</v>
      </c>
      <c r="D6" s="14"/>
      <c r="E6" s="14"/>
      <c r="F6" s="14"/>
      <c r="G6" s="14"/>
      <c r="H6" s="14"/>
    </row>
    <row r="7" spans="1:8">
      <c r="B7" s="23" t="s">
        <v>49</v>
      </c>
      <c r="C7" s="13">
        <v>540</v>
      </c>
      <c r="D7" s="14"/>
      <c r="E7" s="14"/>
      <c r="F7" s="14"/>
      <c r="G7" s="14"/>
      <c r="H7" s="14"/>
    </row>
    <row r="8" spans="1:8" ht="15" customHeight="1">
      <c r="B8" s="23" t="s">
        <v>50</v>
      </c>
      <c r="C8" s="13">
        <v>990</v>
      </c>
      <c r="D8" s="18"/>
      <c r="E8" s="14"/>
      <c r="F8" s="14"/>
      <c r="G8" s="14"/>
      <c r="H8" s="14"/>
    </row>
    <row r="10" spans="1:8">
      <c r="A10" s="42" t="s">
        <v>68</v>
      </c>
      <c r="B10" s="42"/>
      <c r="C10" s="42"/>
      <c r="D10" s="42"/>
      <c r="E10" s="42"/>
      <c r="F10" s="42"/>
      <c r="G10" s="42"/>
      <c r="H10" s="42"/>
    </row>
    <row r="11" spans="1:8">
      <c r="B11" s="23" t="s">
        <v>45</v>
      </c>
      <c r="C11" s="2">
        <v>2019</v>
      </c>
      <c r="D11" s="2">
        <v>2020</v>
      </c>
      <c r="E11" s="2">
        <v>2021</v>
      </c>
      <c r="F11" s="2">
        <v>2022</v>
      </c>
      <c r="G11" s="2">
        <v>2023</v>
      </c>
      <c r="H11" s="2">
        <v>2024</v>
      </c>
    </row>
    <row r="12" spans="1:8" ht="42" customHeight="1">
      <c r="B12" s="23" t="s">
        <v>46</v>
      </c>
      <c r="C12" s="13">
        <v>440</v>
      </c>
      <c r="D12" s="13">
        <v>528</v>
      </c>
      <c r="E12" s="14"/>
      <c r="F12" s="14"/>
      <c r="G12" s="14"/>
      <c r="H12" s="14"/>
    </row>
    <row r="13" spans="1:8" ht="31.15" customHeight="1">
      <c r="B13" s="23" t="s">
        <v>47</v>
      </c>
      <c r="C13" s="13">
        <v>550</v>
      </c>
      <c r="D13" s="5">
        <v>660</v>
      </c>
      <c r="E13" s="14"/>
      <c r="F13" s="14"/>
      <c r="G13" s="14"/>
      <c r="H13" s="14"/>
    </row>
    <row r="14" spans="1:8" ht="17.45" customHeight="1">
      <c r="B14" s="23" t="s">
        <v>48</v>
      </c>
      <c r="C14" s="13">
        <v>990</v>
      </c>
      <c r="D14" s="13"/>
      <c r="E14" s="14"/>
      <c r="F14" s="14"/>
      <c r="G14" s="14"/>
      <c r="H14" s="14"/>
    </row>
    <row r="15" spans="1:8" ht="28.9" customHeight="1">
      <c r="B15" s="23" t="s">
        <v>31</v>
      </c>
      <c r="C15" s="13">
        <v>450</v>
      </c>
      <c r="D15" s="14"/>
      <c r="E15" s="14"/>
      <c r="F15" s="14"/>
      <c r="G15" s="14"/>
      <c r="H15" s="14"/>
    </row>
    <row r="16" spans="1:8">
      <c r="B16" s="23" t="s">
        <v>49</v>
      </c>
      <c r="C16" s="13">
        <v>540</v>
      </c>
      <c r="D16" s="14"/>
      <c r="E16" s="14"/>
      <c r="F16" s="14"/>
      <c r="G16" s="14"/>
      <c r="H16" s="14"/>
    </row>
    <row r="17" spans="1:8" ht="18.600000000000001" customHeight="1">
      <c r="B17" s="23" t="s">
        <v>50</v>
      </c>
      <c r="C17" s="13">
        <v>990</v>
      </c>
      <c r="D17" s="18"/>
      <c r="E17" s="14"/>
      <c r="F17" s="14"/>
      <c r="G17" s="14"/>
      <c r="H17" s="14"/>
    </row>
    <row r="18" spans="1:8" s="9" customFormat="1" ht="18.600000000000001" customHeight="1">
      <c r="A18" s="43" t="s">
        <v>69</v>
      </c>
      <c r="B18" s="43"/>
      <c r="C18" s="43"/>
      <c r="D18" s="43"/>
      <c r="E18" s="43"/>
      <c r="F18" s="43"/>
      <c r="G18" s="43"/>
      <c r="H18" s="44"/>
    </row>
    <row r="19" spans="1:8">
      <c r="B19" s="23" t="s">
        <v>45</v>
      </c>
      <c r="C19" s="2">
        <v>2019</v>
      </c>
      <c r="D19" s="2">
        <v>2020</v>
      </c>
      <c r="E19" s="2">
        <v>2021</v>
      </c>
      <c r="F19" s="2">
        <v>2022</v>
      </c>
      <c r="G19" s="2">
        <v>2023</v>
      </c>
      <c r="H19" s="2">
        <v>2024</v>
      </c>
    </row>
    <row r="20" spans="1:8" ht="39.6" customHeight="1">
      <c r="B20" s="23" t="s">
        <v>46</v>
      </c>
      <c r="C20" s="13">
        <v>440</v>
      </c>
      <c r="D20" s="13">
        <v>528</v>
      </c>
      <c r="E20" s="14"/>
      <c r="F20" s="14"/>
      <c r="G20" s="14"/>
      <c r="H20" s="14"/>
    </row>
    <row r="21" spans="1:8" ht="34.15" customHeight="1">
      <c r="B21" s="23" t="s">
        <v>47</v>
      </c>
      <c r="C21" s="13">
        <v>550</v>
      </c>
      <c r="D21" s="13">
        <v>660</v>
      </c>
      <c r="E21" s="14"/>
      <c r="F21" s="14"/>
      <c r="G21" s="14"/>
      <c r="H21" s="14"/>
    </row>
    <row r="22" spans="1:8" ht="16.899999999999999" customHeight="1">
      <c r="B22" s="23" t="s">
        <v>48</v>
      </c>
      <c r="C22" s="13">
        <v>990</v>
      </c>
      <c r="D22" s="5">
        <v>1188</v>
      </c>
      <c r="E22" s="14"/>
      <c r="F22" s="14"/>
      <c r="G22" s="14"/>
      <c r="H22" s="14"/>
    </row>
    <row r="23" spans="1:8" ht="30" customHeight="1">
      <c r="B23" s="23" t="s">
        <v>31</v>
      </c>
      <c r="C23" s="13">
        <v>450</v>
      </c>
      <c r="D23" s="14"/>
      <c r="E23" s="14"/>
      <c r="F23" s="14"/>
      <c r="G23" s="14"/>
      <c r="H23" s="14"/>
    </row>
    <row r="24" spans="1:8">
      <c r="B24" s="23" t="s">
        <v>49</v>
      </c>
      <c r="C24" s="13">
        <v>540</v>
      </c>
      <c r="D24" s="14"/>
      <c r="E24" s="14"/>
      <c r="F24" s="14"/>
      <c r="G24" s="14"/>
      <c r="H24" s="14"/>
    </row>
    <row r="25" spans="1:8" ht="17.45" customHeight="1">
      <c r="B25" s="23" t="s">
        <v>50</v>
      </c>
      <c r="C25" s="13">
        <v>990</v>
      </c>
      <c r="D25" s="18"/>
      <c r="E25" s="14"/>
      <c r="F25" s="14"/>
      <c r="G25" s="14"/>
      <c r="H25" s="14"/>
    </row>
    <row r="26" spans="1:8" ht="17.45" customHeight="1">
      <c r="B26" s="45" t="s">
        <v>70</v>
      </c>
      <c r="C26" s="46"/>
      <c r="D26" s="46"/>
      <c r="E26" s="46"/>
      <c r="F26" s="46"/>
      <c r="G26" s="46"/>
      <c r="H26" s="47"/>
    </row>
    <row r="27" spans="1:8">
      <c r="B27" s="23" t="s">
        <v>45</v>
      </c>
      <c r="C27" s="2">
        <v>2019</v>
      </c>
      <c r="D27" s="2">
        <v>2020</v>
      </c>
      <c r="E27" s="2">
        <v>2021</v>
      </c>
      <c r="F27" s="2">
        <v>2022</v>
      </c>
      <c r="G27" s="2">
        <v>2023</v>
      </c>
      <c r="H27" s="2">
        <v>2024</v>
      </c>
    </row>
    <row r="28" spans="1:8" ht="40.9" customHeight="1">
      <c r="B28" s="23" t="s">
        <v>46</v>
      </c>
      <c r="C28" s="13">
        <v>440</v>
      </c>
      <c r="D28" s="13">
        <v>528</v>
      </c>
      <c r="E28" s="14"/>
      <c r="F28" s="14"/>
      <c r="G28" s="14"/>
      <c r="H28" s="14"/>
    </row>
    <row r="29" spans="1:8" ht="31.15" customHeight="1">
      <c r="B29" s="23" t="s">
        <v>47</v>
      </c>
      <c r="C29" s="13">
        <v>550</v>
      </c>
      <c r="D29" s="13">
        <v>660</v>
      </c>
      <c r="E29" s="14"/>
      <c r="F29" s="14"/>
      <c r="G29" s="14"/>
      <c r="H29" s="14"/>
    </row>
    <row r="30" spans="1:8" ht="18" customHeight="1">
      <c r="B30" s="23" t="s">
        <v>48</v>
      </c>
      <c r="C30" s="13">
        <v>990</v>
      </c>
      <c r="D30" s="13">
        <v>1188</v>
      </c>
      <c r="E30" s="14"/>
      <c r="F30" s="14"/>
      <c r="G30" s="14"/>
      <c r="H30" s="14"/>
    </row>
    <row r="31" spans="1:8" ht="14.25" customHeight="1">
      <c r="B31" s="23" t="s">
        <v>31</v>
      </c>
      <c r="C31" s="13">
        <v>450</v>
      </c>
      <c r="D31" s="14"/>
      <c r="E31" s="14"/>
      <c r="F31" s="14"/>
      <c r="G31" s="14"/>
      <c r="H31" s="14"/>
    </row>
    <row r="32" spans="1:8">
      <c r="B32" s="23" t="s">
        <v>49</v>
      </c>
      <c r="C32" s="13">
        <v>540</v>
      </c>
      <c r="D32" s="14"/>
      <c r="E32" s="14"/>
      <c r="F32" s="14"/>
      <c r="G32" s="14"/>
      <c r="H32" s="14"/>
    </row>
    <row r="33" spans="2:10" ht="42.75" customHeight="1">
      <c r="B33" s="23" t="s">
        <v>50</v>
      </c>
      <c r="C33" s="13">
        <v>990</v>
      </c>
      <c r="D33" s="7">
        <v>1188</v>
      </c>
      <c r="E33" s="14"/>
      <c r="F33" s="14"/>
      <c r="G33" s="14"/>
      <c r="H33" s="14"/>
    </row>
    <row r="35" spans="2:10">
      <c r="B35" s="48" t="s">
        <v>71</v>
      </c>
      <c r="C35" s="48"/>
      <c r="D35" s="48"/>
      <c r="E35" s="48"/>
      <c r="F35" s="48"/>
      <c r="G35" s="48"/>
      <c r="H35" s="48"/>
      <c r="I35" s="48"/>
      <c r="J35" s="48"/>
    </row>
    <row r="36" spans="2:10">
      <c r="B36" s="23" t="s">
        <v>45</v>
      </c>
      <c r="C36" s="2">
        <v>2019</v>
      </c>
      <c r="D36" s="2">
        <v>2020</v>
      </c>
      <c r="E36" s="2">
        <v>2021</v>
      </c>
      <c r="F36" s="2">
        <v>2022</v>
      </c>
      <c r="G36" s="2">
        <v>2023</v>
      </c>
      <c r="H36" s="2">
        <v>2024</v>
      </c>
    </row>
    <row r="37" spans="2:10" ht="33" customHeight="1">
      <c r="B37" s="23" t="s">
        <v>46</v>
      </c>
      <c r="C37" s="13">
        <v>440</v>
      </c>
      <c r="D37" s="13">
        <v>528</v>
      </c>
      <c r="E37" s="14"/>
      <c r="F37" s="14"/>
      <c r="G37" s="14"/>
      <c r="H37" s="14"/>
    </row>
    <row r="38" spans="2:10" ht="31.5" customHeight="1">
      <c r="B38" s="23" t="s">
        <v>47</v>
      </c>
      <c r="C38" s="13">
        <v>550</v>
      </c>
      <c r="D38" s="13">
        <v>660</v>
      </c>
      <c r="E38" s="14"/>
      <c r="F38" s="14"/>
      <c r="G38" s="14"/>
      <c r="H38" s="14"/>
    </row>
    <row r="39" spans="2:10">
      <c r="B39" s="23" t="s">
        <v>48</v>
      </c>
      <c r="C39" s="13">
        <v>990</v>
      </c>
      <c r="D39" s="13">
        <v>1188</v>
      </c>
      <c r="E39" s="14"/>
      <c r="F39" s="14"/>
      <c r="G39" s="14"/>
      <c r="H39" s="14"/>
    </row>
    <row r="40" spans="2:10" ht="17.25" customHeight="1">
      <c r="B40" s="23" t="s">
        <v>31</v>
      </c>
      <c r="C40" s="13">
        <v>450</v>
      </c>
      <c r="D40" s="14"/>
      <c r="E40" s="14"/>
      <c r="F40" s="14"/>
      <c r="G40" s="14"/>
      <c r="H40" s="14"/>
    </row>
    <row r="41" spans="2:10">
      <c r="B41" s="23" t="s">
        <v>49</v>
      </c>
      <c r="C41" s="13">
        <v>540</v>
      </c>
      <c r="D41" s="7">
        <f>C41+'Прогнозный ОФР'!E54</f>
        <v>540</v>
      </c>
      <c r="E41" s="14"/>
      <c r="F41" s="14"/>
      <c r="G41" s="14"/>
      <c r="H41" s="14"/>
    </row>
    <row r="42" spans="2:10" ht="45">
      <c r="B42" s="23" t="s">
        <v>50</v>
      </c>
      <c r="C42" s="13">
        <v>990</v>
      </c>
      <c r="D42" s="18">
        <v>1188</v>
      </c>
      <c r="E42" s="14"/>
      <c r="F42" s="14"/>
      <c r="G42" s="14"/>
      <c r="H42" s="14"/>
    </row>
    <row r="43" spans="2:10">
      <c r="B43" s="39" t="s">
        <v>72</v>
      </c>
      <c r="C43" s="40"/>
      <c r="D43" s="40"/>
      <c r="E43" s="40"/>
      <c r="F43" s="40"/>
      <c r="G43" s="40"/>
      <c r="H43" s="41"/>
    </row>
    <row r="44" spans="2:10">
      <c r="B44" s="23" t="s">
        <v>45</v>
      </c>
      <c r="C44" s="2">
        <v>2019</v>
      </c>
      <c r="D44" s="2">
        <v>2020</v>
      </c>
      <c r="E44" s="2">
        <v>2021</v>
      </c>
      <c r="F44" s="2">
        <v>2022</v>
      </c>
      <c r="G44" s="2">
        <v>2023</v>
      </c>
      <c r="H44" s="2">
        <v>2024</v>
      </c>
    </row>
    <row r="45" spans="2:10" ht="33" customHeight="1">
      <c r="B45" s="23" t="s">
        <v>46</v>
      </c>
      <c r="C45" s="13">
        <f>0.2*'Прогнозный ОФР'!D46</f>
        <v>440</v>
      </c>
      <c r="D45" s="13"/>
      <c r="E45" s="13"/>
      <c r="F45" s="13"/>
      <c r="G45" s="13"/>
      <c r="H45" s="13"/>
    </row>
    <row r="46" spans="2:10" ht="31.5" customHeight="1">
      <c r="B46" s="23" t="s">
        <v>47</v>
      </c>
      <c r="C46" s="13">
        <f>0.25*'Прогнозный ОФР'!D46</f>
        <v>550</v>
      </c>
      <c r="D46" s="13"/>
      <c r="E46" s="13"/>
      <c r="F46" s="13"/>
      <c r="G46" s="13"/>
      <c r="H46" s="13"/>
    </row>
    <row r="47" spans="2:10">
      <c r="B47" s="23" t="s">
        <v>48</v>
      </c>
      <c r="C47" s="13">
        <f>SUM(C45:C46)</f>
        <v>990</v>
      </c>
      <c r="D47" s="13"/>
      <c r="E47" s="13"/>
      <c r="F47" s="13"/>
      <c r="G47" s="13"/>
      <c r="H47" s="13"/>
    </row>
    <row r="48" spans="2:10" ht="21.75" customHeight="1">
      <c r="B48" s="23" t="s">
        <v>31</v>
      </c>
      <c r="C48" s="13">
        <v>450</v>
      </c>
      <c r="D48" s="5"/>
      <c r="E48" s="5"/>
      <c r="F48" s="5"/>
      <c r="G48" s="5"/>
      <c r="H48" s="5"/>
    </row>
    <row r="49" spans="2:8">
      <c r="B49" s="23" t="s">
        <v>49</v>
      </c>
      <c r="C49" s="13">
        <f>'Первоначальный баланс'!D20</f>
        <v>540</v>
      </c>
      <c r="D49" s="13"/>
      <c r="E49" s="13"/>
      <c r="F49" s="13"/>
      <c r="G49" s="13"/>
      <c r="H49" s="13"/>
    </row>
    <row r="50" spans="2:8" ht="45">
      <c r="B50" s="23" t="s">
        <v>50</v>
      </c>
      <c r="C50" s="13">
        <v>990</v>
      </c>
      <c r="D50" s="13"/>
      <c r="E50" s="13"/>
      <c r="F50" s="13"/>
      <c r="G50" s="13"/>
      <c r="H50" s="13"/>
    </row>
    <row r="52" spans="2:8">
      <c r="B52" s="19" t="s">
        <v>73</v>
      </c>
      <c r="D52">
        <f>D48-C48</f>
        <v>-450</v>
      </c>
      <c r="E52">
        <f t="shared" ref="E52:H52" si="0">E48-D48</f>
        <v>0</v>
      </c>
      <c r="F52">
        <f t="shared" si="0"/>
        <v>0</v>
      </c>
      <c r="G52">
        <f t="shared" si="0"/>
        <v>0</v>
      </c>
      <c r="H52">
        <f t="shared" si="0"/>
        <v>0</v>
      </c>
    </row>
  </sheetData>
  <mergeCells count="6">
    <mergeCell ref="B43:H43"/>
    <mergeCell ref="A1:H1"/>
    <mergeCell ref="A10:H10"/>
    <mergeCell ref="A18:H18"/>
    <mergeCell ref="B26:H26"/>
    <mergeCell ref="B35:J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C4" sqref="C4:H4"/>
    </sheetView>
  </sheetViews>
  <sheetFormatPr defaultRowHeight="15"/>
  <cols>
    <col min="2" max="2" width="39.28515625" customWidth="1"/>
  </cols>
  <sheetData>
    <row r="2" spans="2:8">
      <c r="B2" s="15" t="str">
        <f>'Прогнозный ОФР'!C46</f>
        <v>1. Выручка от реализации</v>
      </c>
      <c r="C2" s="16">
        <f>'Прогнозный ОФР'!D46</f>
        <v>2200</v>
      </c>
      <c r="D2" s="16">
        <f>'Прогнозный ОФР'!E46</f>
        <v>0</v>
      </c>
      <c r="E2" s="16">
        <f>'Прогнозный ОФР'!F46</f>
        <v>0</v>
      </c>
      <c r="F2" s="16">
        <f>'Прогнозный ОФР'!G46</f>
        <v>0</v>
      </c>
      <c r="G2" s="16">
        <f>'Прогнозный ОФР'!H46</f>
        <v>0</v>
      </c>
      <c r="H2" s="16">
        <f>'Прогнозный ОФР'!I46</f>
        <v>0</v>
      </c>
    </row>
    <row r="4" spans="2:8">
      <c r="B4" s="24" t="s">
        <v>51</v>
      </c>
      <c r="C4" s="2">
        <v>2019</v>
      </c>
      <c r="D4" s="2">
        <v>2020</v>
      </c>
      <c r="E4" s="2">
        <v>2021</v>
      </c>
      <c r="F4" s="2">
        <v>2022</v>
      </c>
      <c r="G4" s="2">
        <v>2023</v>
      </c>
      <c r="H4" s="2">
        <v>2024</v>
      </c>
    </row>
    <row r="5" spans="2:8" ht="30" customHeight="1">
      <c r="B5" s="24" t="s">
        <v>52</v>
      </c>
      <c r="C5" s="21"/>
      <c r="D5" s="21"/>
      <c r="E5" s="21"/>
      <c r="F5" s="21"/>
      <c r="G5" s="21"/>
      <c r="H5" s="21"/>
    </row>
    <row r="6" spans="2:8" ht="16.149999999999999" customHeight="1">
      <c r="B6" s="24" t="s">
        <v>53</v>
      </c>
      <c r="C6" s="22">
        <v>38.5</v>
      </c>
      <c r="D6" s="22">
        <v>88</v>
      </c>
      <c r="E6" s="22">
        <v>105.6</v>
      </c>
      <c r="F6" s="22">
        <v>126.72</v>
      </c>
      <c r="G6" s="22">
        <v>152.06</v>
      </c>
      <c r="H6" s="22">
        <v>182.48</v>
      </c>
    </row>
    <row r="7" spans="2:8" ht="30.6" customHeight="1">
      <c r="B7" s="24" t="s">
        <v>54</v>
      </c>
      <c r="C7" s="22">
        <v>70.5</v>
      </c>
      <c r="D7" s="22">
        <v>165</v>
      </c>
      <c r="E7" s="22">
        <v>198</v>
      </c>
      <c r="F7" s="22">
        <v>237.6</v>
      </c>
      <c r="G7" s="22">
        <v>285.12</v>
      </c>
      <c r="H7" s="22">
        <v>342.14</v>
      </c>
    </row>
    <row r="8" spans="2:8" ht="18" customHeight="1">
      <c r="B8" s="24" t="s">
        <v>55</v>
      </c>
      <c r="C8" s="22">
        <v>43.8</v>
      </c>
      <c r="D8" s="22">
        <v>59.04</v>
      </c>
      <c r="E8" s="22">
        <v>68.38</v>
      </c>
      <c r="F8" s="22">
        <v>79.52</v>
      </c>
      <c r="G8" s="22">
        <v>92.84</v>
      </c>
      <c r="H8" s="22">
        <v>108.75</v>
      </c>
    </row>
    <row r="9" spans="2:8" ht="15" customHeight="1">
      <c r="B9" s="24" t="s">
        <v>56</v>
      </c>
      <c r="C9" s="22">
        <v>152.80000000000001</v>
      </c>
      <c r="D9" s="22">
        <v>312.04000000000002</v>
      </c>
      <c r="E9" s="22">
        <v>371.98</v>
      </c>
      <c r="F9" s="22">
        <v>443.84</v>
      </c>
      <c r="G9" s="22">
        <v>530.02</v>
      </c>
      <c r="H9" s="22">
        <v>633.37</v>
      </c>
    </row>
    <row r="10" spans="2:8">
      <c r="B10" s="24" t="s">
        <v>57</v>
      </c>
      <c r="C10" s="21"/>
      <c r="D10" s="21"/>
      <c r="E10" s="21"/>
      <c r="F10" s="21"/>
      <c r="G10" s="21"/>
      <c r="H10" s="21"/>
    </row>
    <row r="11" spans="2:8" ht="18.600000000000001" customHeight="1">
      <c r="B11" s="24" t="s">
        <v>58</v>
      </c>
      <c r="C11" s="22">
        <v>25</v>
      </c>
      <c r="D11" s="22">
        <v>158.63999999999999</v>
      </c>
      <c r="E11" s="22">
        <v>192.02</v>
      </c>
      <c r="F11" s="22">
        <v>232.11</v>
      </c>
      <c r="G11" s="22">
        <v>280.25</v>
      </c>
      <c r="H11" s="22">
        <v>338.07</v>
      </c>
    </row>
    <row r="14" spans="2:8">
      <c r="B14" t="str">
        <f>B6</f>
        <v xml:space="preserve">NWC= 20% выручки от реализации </v>
      </c>
      <c r="D14" s="4">
        <f>0.2*(D2-C2)</f>
        <v>-440</v>
      </c>
      <c r="E14" s="4">
        <f t="shared" ref="E14:H14" si="0">0.2*(E2-D2)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</row>
    <row r="15" spans="2:8">
      <c r="B15" t="str">
        <f>B7</f>
        <v xml:space="preserve">Основные средства = 25% выручки от реализации </v>
      </c>
      <c r="D15">
        <f>0.25*(D2-C2)+'Прогнозный ОФР'!E48</f>
        <v>-550</v>
      </c>
      <c r="E15">
        <f>0.25*(E2-D2)+'Прогнозный ОФР'!F48</f>
        <v>0</v>
      </c>
      <c r="F15">
        <f>0.25*(F2-E2)+'Прогнозный ОФР'!G48</f>
        <v>0</v>
      </c>
      <c r="G15">
        <f>0.25*(G2-F2)+'Прогнозный ОФР'!H48</f>
        <v>0</v>
      </c>
      <c r="H15">
        <f>0.25*(H2-G2)+'Прогнозный ОФР'!I48</f>
        <v>0</v>
      </c>
    </row>
    <row r="16" spans="2:8">
      <c r="B16" t="s">
        <v>12</v>
      </c>
      <c r="C16">
        <f>0.6*'Прогнозный ОФР'!D52</f>
        <v>44.699999999999996</v>
      </c>
      <c r="D16">
        <f>0.588*'Прогнозный ОФР'!E52</f>
        <v>0</v>
      </c>
      <c r="E16">
        <f>0.6*'Прогнозный ОФР'!F52</f>
        <v>0</v>
      </c>
      <c r="F16">
        <f>0.6*'Прогнозный ОФР'!G52</f>
        <v>0</v>
      </c>
      <c r="G16">
        <f>0.6*'Прогнозный ОФР'!H52</f>
        <v>0</v>
      </c>
      <c r="H16">
        <f>0.6*'Прогнозный ОФР'!I52</f>
        <v>0</v>
      </c>
    </row>
    <row r="17" spans="2:8">
      <c r="B17" t="s">
        <v>13</v>
      </c>
      <c r="D17" s="4">
        <f>SUM(D14:D16)</f>
        <v>-990</v>
      </c>
      <c r="E17" s="4">
        <f t="shared" ref="E17:H17" si="1">SUM(E14:E16)</f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</row>
    <row r="19" spans="2:8">
      <c r="B19" t="s">
        <v>14</v>
      </c>
      <c r="D19" s="4">
        <f>D17-'Прогнозный ОФР'!E56</f>
        <v>-990</v>
      </c>
      <c r="E19" s="4">
        <f>E17-'Прогнозный ОФР'!F56</f>
        <v>0</v>
      </c>
      <c r="F19" s="4">
        <f>F17-'Прогнозный ОФР'!G56</f>
        <v>0</v>
      </c>
      <c r="G19" s="4">
        <f>G17-'Прогнозный ОФР'!H56</f>
        <v>0</v>
      </c>
      <c r="H19" s="4">
        <f>H17-'Прогнозный ОФР'!I56</f>
        <v>0</v>
      </c>
    </row>
    <row r="20" spans="2:8">
      <c r="D20">
        <f>D9-'Прогнозный ОФР'!E56</f>
        <v>312.04000000000002</v>
      </c>
      <c r="E20">
        <f>E9-'Прогнозный ОФР'!F56</f>
        <v>371.98</v>
      </c>
      <c r="F20">
        <f>F9-'Прогнозный ОФР'!G56</f>
        <v>443.84</v>
      </c>
      <c r="G20">
        <f>G9-'Прогнозный ОФР'!H56</f>
        <v>530.02</v>
      </c>
      <c r="H20">
        <f>H9-'Прогнозный ОФР'!I56</f>
        <v>633.37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C3:I8"/>
  <sheetViews>
    <sheetView workbookViewId="0">
      <selection activeCell="C28" sqref="C28"/>
    </sheetView>
  </sheetViews>
  <sheetFormatPr defaultRowHeight="15"/>
  <cols>
    <col min="3" max="3" width="48.140625" customWidth="1"/>
    <col min="4" max="9" width="9.5703125" bestFit="1" customWidth="1"/>
  </cols>
  <sheetData>
    <row r="3" spans="3:9">
      <c r="C3" s="29"/>
      <c r="D3" s="34">
        <v>2019</v>
      </c>
      <c r="E3" s="34">
        <v>2020</v>
      </c>
      <c r="F3" s="34">
        <v>2021</v>
      </c>
      <c r="G3" s="34">
        <v>2022</v>
      </c>
      <c r="H3" s="34">
        <v>2023</v>
      </c>
      <c r="I3" s="34">
        <v>2024</v>
      </c>
    </row>
    <row r="4" spans="3:9" ht="24.75" customHeight="1">
      <c r="C4" s="35" t="s">
        <v>77</v>
      </c>
      <c r="D4" s="36">
        <f>'Прогноз долгосрочного долга'!C48/'Прогноз долгосрочного долга'!C49</f>
        <v>0.83333333333333337</v>
      </c>
      <c r="E4" s="36" t="e">
        <f>'Прогноз долгосрочного долга'!D48/'Прогноз долгосрочного долга'!D49</f>
        <v>#DIV/0!</v>
      </c>
      <c r="F4" s="36" t="e">
        <f>'Прогноз долгосрочного долга'!E48/'Прогноз долгосрочного долга'!E49</f>
        <v>#DIV/0!</v>
      </c>
      <c r="G4" s="36" t="e">
        <f>'Прогноз долгосрочного долга'!F48/'Прогноз долгосрочного долга'!F49</f>
        <v>#DIV/0!</v>
      </c>
      <c r="H4" s="36" t="e">
        <f>'Прогноз долгосрочного долга'!G48/'Прогноз долгосрочного долга'!G49</f>
        <v>#DIV/0!</v>
      </c>
      <c r="I4" s="36" t="e">
        <f>'Прогноз долгосрочного долга'!H48/'Прогноз долгосрочного долга'!H49</f>
        <v>#DIV/0!</v>
      </c>
    </row>
    <row r="5" spans="3:9" ht="24.75" customHeight="1">
      <c r="C5" s="35" t="s">
        <v>78</v>
      </c>
      <c r="D5" s="37">
        <f>'Прогнозный ОФР'!D52/'Прогноз долгосрочного долга'!C49</f>
        <v>0.13796296296296295</v>
      </c>
      <c r="E5" s="37" t="e">
        <f>'Прогнозный ОФР'!E52/'Прогноз долгосрочного долга'!D49</f>
        <v>#DIV/0!</v>
      </c>
      <c r="F5" s="37" t="e">
        <f>'Прогнозный ОФР'!F52/'Прогноз долгосрочного долга'!E49</f>
        <v>#DIV/0!</v>
      </c>
      <c r="G5" s="37" t="e">
        <f>'Прогнозный ОФР'!G52/'Прогноз долгосрочного долга'!F49</f>
        <v>#DIV/0!</v>
      </c>
      <c r="H5" s="37" t="e">
        <f>'Прогнозный ОФР'!H52/'Прогноз долгосрочного долга'!G49</f>
        <v>#DIV/0!</v>
      </c>
      <c r="I5" s="37" t="e">
        <f>'Прогнозный ОФР'!I52/'Прогноз долгосрочного долга'!H49</f>
        <v>#DIV/0!</v>
      </c>
    </row>
    <row r="6" spans="3:9" ht="24.75" customHeight="1">
      <c r="C6" s="35" t="s">
        <v>79</v>
      </c>
      <c r="D6" s="36">
        <f>'Прогнозный ОФР'!D46/'Прогноз долгосрочного долга'!C47</f>
        <v>2.2222222222222223</v>
      </c>
      <c r="E6" s="36" t="e">
        <f>'Прогнозный ОФР'!E46/'Прогноз долгосрочного долга'!D47</f>
        <v>#DIV/0!</v>
      </c>
      <c r="F6" s="36" t="e">
        <f>'Прогнозный ОФР'!F46/'Прогноз долгосрочного долга'!E47</f>
        <v>#DIV/0!</v>
      </c>
      <c r="G6" s="36" t="e">
        <f>'Прогнозный ОФР'!G46/'Прогноз долгосрочного долга'!F47</f>
        <v>#DIV/0!</v>
      </c>
      <c r="H6" s="36" t="e">
        <f>'Прогнозный ОФР'!H46/'Прогноз долгосрочного долга'!G47</f>
        <v>#DIV/0!</v>
      </c>
      <c r="I6" s="36" t="e">
        <f>'Прогнозный ОФР'!I46/'Прогноз долгосрочного долга'!H47</f>
        <v>#DIV/0!</v>
      </c>
    </row>
    <row r="7" spans="3:9" ht="24.75" customHeight="1">
      <c r="C7" s="35" t="s">
        <v>80</v>
      </c>
      <c r="D7" s="38">
        <f>'Прогнозный ОФР'!D52/'Прогнозный ОФР'!D46</f>
        <v>3.3863636363636367E-2</v>
      </c>
      <c r="E7" s="38" t="e">
        <f>'Прогнозный ОФР'!E52/'Прогнозный ОФР'!E46</f>
        <v>#DIV/0!</v>
      </c>
      <c r="F7" s="38" t="e">
        <f>'Прогнозный ОФР'!F52/'Прогнозный ОФР'!F46</f>
        <v>#DIV/0!</v>
      </c>
      <c r="G7" s="38" t="e">
        <f>'Прогнозный ОФР'!G52/'Прогнозный ОФР'!G46</f>
        <v>#DIV/0!</v>
      </c>
      <c r="H7" s="38" t="e">
        <f>'Прогнозный ОФР'!H52/'Прогнозный ОФР'!H46</f>
        <v>#DIV/0!</v>
      </c>
      <c r="I7" s="38" t="e">
        <f>'Прогнозный ОФР'!I52/'Прогнозный ОФР'!I46</f>
        <v>#DIV/0!</v>
      </c>
    </row>
    <row r="8" spans="3:9" ht="24.75" customHeight="1">
      <c r="C8" s="35" t="s">
        <v>81</v>
      </c>
      <c r="D8" s="36">
        <f>'Прогноз долгосрочного долга'!C47/'Прогноз долгосрочного долга'!C49</f>
        <v>1.8333333333333333</v>
      </c>
      <c r="E8" s="36" t="e">
        <f>'Прогноз долгосрочного долга'!D47/'Прогноз долгосрочного долга'!D49</f>
        <v>#DIV/0!</v>
      </c>
      <c r="F8" s="36" t="e">
        <f>'Прогноз долгосрочного долга'!E47/'Прогноз долгосрочного долга'!E49</f>
        <v>#DIV/0!</v>
      </c>
      <c r="G8" s="36" t="e">
        <f>'Прогноз долгосрочного долга'!F47/'Прогноз долгосрочного долга'!F49</f>
        <v>#DIV/0!</v>
      </c>
      <c r="H8" s="36" t="e">
        <f>'Прогноз долгосрочного долга'!G47/'Прогноз долгосрочного долга'!G49</f>
        <v>#DIV/0!</v>
      </c>
      <c r="I8" s="36" t="e">
        <f>'Прогноз долгосрочного долга'!H47/'Прогноз долгосрочного долга'!H49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Первоначальный баланс</vt:lpstr>
      <vt:lpstr>Первоначальный ОФР</vt:lpstr>
      <vt:lpstr>темп прироста</vt:lpstr>
      <vt:lpstr>Прогнозный ОФР</vt:lpstr>
      <vt:lpstr>Прогноз долгосрочного долга</vt:lpstr>
      <vt:lpstr>Потребность в ресурсах</vt:lpstr>
      <vt:lpstr>Финансовые коэффициенты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2019-10-08T10:54:52Z</dcterms:created>
  <dcterms:modified xsi:type="dcterms:W3CDTF">2021-01-20T07:13:47Z</dcterms:modified>
</cp:coreProperties>
</file>